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BU.BUBU-PC\OneDrive\Desktop\work\web- information\პროაქტიული\2022 წელი\"/>
    </mc:Choice>
  </mc:AlternateContent>
  <bookViews>
    <workbookView xWindow="0" yWindow="0" windowWidth="20490" windowHeight="7755" tabRatio="772" activeTab="5"/>
  </bookViews>
  <sheets>
    <sheet name="სახელმწიფო ბიუჯეტი" sheetId="142" r:id="rId1"/>
    <sheet name="საკუთარი სახსრები" sheetId="143" r:id="rId2"/>
    <sheet name="გრანტი - N1254" sheetId="144" r:id="rId3"/>
    <sheet name="გრანტი - N2471" sheetId="146" r:id="rId4"/>
    <sheet name="გრანტი - N2019-N2486" sheetId="145" r:id="rId5"/>
    <sheet name="გრანტი - N2600" sheetId="147" r:id="rId6"/>
  </sheets>
  <definedNames>
    <definedName name="_xlnm.Print_Area" localSheetId="2">'გრანტი - N1254'!$A$1:$H$25</definedName>
    <definedName name="_xlnm.Print_Area" localSheetId="4">'გრანტი - N2019-N2486'!$A$1:$H$14</definedName>
    <definedName name="_xlnm.Print_Area" localSheetId="3">'გრანტი - N2471'!$A$1:$H$26</definedName>
    <definedName name="_xlnm.Print_Area" localSheetId="5">'გრანტი - N2600'!$A$1:$H$18</definedName>
    <definedName name="_xlnm.Print_Area" localSheetId="1">'საკუთარი სახსრები'!$A$1:$H$87</definedName>
    <definedName name="_xlnm.Print_Area" localSheetId="0">'სახელმწიფო ბიუჯეტი'!$A$2:$H$92</definedName>
  </definedNames>
  <calcPr calcId="162913"/>
</workbook>
</file>

<file path=xl/calcChain.xml><?xml version="1.0" encoding="utf-8"?>
<calcChain xmlns="http://schemas.openxmlformats.org/spreadsheetml/2006/main">
  <c r="D17" i="147" l="1"/>
  <c r="D15" i="147"/>
  <c r="D14" i="147"/>
  <c r="D12" i="147"/>
  <c r="D12" i="145" l="1"/>
  <c r="A9" i="145"/>
  <c r="D20" i="144" l="1"/>
  <c r="A9" i="144"/>
  <c r="D87" i="143" l="1"/>
  <c r="D86" i="143"/>
  <c r="D85" i="143"/>
  <c r="D84" i="143"/>
  <c r="D82" i="143"/>
  <c r="D81" i="143"/>
  <c r="D80" i="143"/>
  <c r="D79" i="143"/>
  <c r="D77" i="143"/>
  <c r="D76" i="143"/>
  <c r="D73" i="143"/>
  <c r="D72" i="143"/>
  <c r="D71" i="143"/>
  <c r="D70" i="143"/>
  <c r="D68" i="143"/>
  <c r="D67" i="143"/>
  <c r="D66" i="143"/>
  <c r="D65" i="143"/>
  <c r="D64" i="143"/>
  <c r="D63" i="143"/>
  <c r="D62" i="143"/>
  <c r="D60" i="143"/>
  <c r="D57" i="143"/>
  <c r="D56" i="143"/>
  <c r="D53" i="143"/>
  <c r="D52" i="143"/>
  <c r="D51" i="143"/>
  <c r="D49" i="143"/>
  <c r="D47" i="143"/>
  <c r="D46" i="143"/>
  <c r="D44" i="143"/>
  <c r="D43" i="143"/>
  <c r="D42" i="143"/>
  <c r="D41" i="143"/>
  <c r="D37" i="143"/>
  <c r="D36" i="143"/>
  <c r="D35" i="143"/>
  <c r="D34" i="143"/>
  <c r="D33" i="143"/>
  <c r="D32" i="143"/>
  <c r="D31" i="143"/>
  <c r="D30" i="143"/>
  <c r="D29" i="143"/>
  <c r="D28" i="143"/>
  <c r="D27" i="143"/>
  <c r="D26" i="143"/>
  <c r="D24" i="143"/>
  <c r="D23" i="143"/>
  <c r="D22" i="143"/>
  <c r="D21" i="143"/>
  <c r="D20" i="143"/>
  <c r="D19" i="143"/>
  <c r="D18" i="143"/>
  <c r="D17" i="143"/>
  <c r="D16" i="143"/>
  <c r="D15" i="143"/>
  <c r="D13" i="143"/>
  <c r="D12" i="143"/>
  <c r="A9" i="143"/>
  <c r="A9" i="142"/>
  <c r="D12" i="142"/>
  <c r="D13" i="142"/>
  <c r="D14" i="142"/>
  <c r="D16" i="142"/>
  <c r="D17" i="142"/>
  <c r="D18" i="142"/>
  <c r="D20" i="142"/>
  <c r="D21" i="142"/>
  <c r="D22" i="142"/>
  <c r="D23" i="142"/>
  <c r="D24" i="142"/>
  <c r="D25" i="142"/>
  <c r="D26" i="142"/>
  <c r="D27" i="142"/>
  <c r="D28" i="142"/>
  <c r="D30" i="142"/>
  <c r="D31" i="142"/>
  <c r="D32" i="142"/>
  <c r="D33" i="142"/>
  <c r="D34" i="142"/>
  <c r="D36" i="142"/>
  <c r="D38" i="142"/>
  <c r="D39" i="142"/>
  <c r="D40" i="142"/>
  <c r="D42" i="142"/>
  <c r="D43" i="142"/>
  <c r="D44" i="142"/>
  <c r="D46" i="142"/>
  <c r="D47" i="142"/>
  <c r="D48" i="142"/>
  <c r="D50" i="142"/>
  <c r="D51" i="142"/>
  <c r="D52" i="142"/>
  <c r="D53" i="142"/>
  <c r="D54" i="142"/>
  <c r="D55" i="142"/>
  <c r="D56" i="142"/>
  <c r="D58" i="142"/>
  <c r="D59" i="142"/>
  <c r="D60" i="142"/>
  <c r="D61" i="142"/>
  <c r="D62" i="142"/>
  <c r="D63" i="142"/>
  <c r="D64" i="142"/>
  <c r="D65" i="142"/>
  <c r="D66" i="142"/>
  <c r="D67" i="142"/>
  <c r="D70" i="142"/>
  <c r="D71" i="142"/>
  <c r="D72" i="142"/>
  <c r="D75" i="142"/>
  <c r="D76" i="142"/>
  <c r="D77" i="142"/>
  <c r="D78" i="142"/>
  <c r="D79" i="142"/>
  <c r="D80" i="142"/>
  <c r="D81" i="142"/>
  <c r="D82" i="142"/>
  <c r="D83" i="142"/>
  <c r="D84" i="142"/>
  <c r="D85" i="142"/>
  <c r="D86" i="142"/>
  <c r="D87" i="142"/>
  <c r="D89" i="142"/>
  <c r="D90" i="142"/>
  <c r="D92" i="142"/>
</calcChain>
</file>

<file path=xl/sharedStrings.xml><?xml version="1.0" encoding="utf-8"?>
<sst xmlns="http://schemas.openxmlformats.org/spreadsheetml/2006/main" count="925" uniqueCount="167">
  <si>
    <t>SeniSvna</t>
  </si>
  <si>
    <t>#</t>
  </si>
  <si>
    <t>danayofis kodi</t>
  </si>
  <si>
    <t>danayofis dasaxeleba</t>
  </si>
  <si>
    <t>Sesyidvis saSualeba</t>
  </si>
  <si>
    <t>Sesyidvebis dawyebis savaraudo vadebi</t>
  </si>
  <si>
    <t>Sesyidvis obieqtis miwodebis savaraudo vada</t>
  </si>
  <si>
    <t>2. Semsyidveli organizaciis saidentifikacio kodi</t>
  </si>
  <si>
    <t>3. Semsyidveli organizaciis dasaxeleba</t>
  </si>
  <si>
    <t>g.S</t>
  </si>
  <si>
    <t>aveji</t>
  </si>
  <si>
    <t>I kv</t>
  </si>
  <si>
    <t>konsolidirebuli tenderi</t>
  </si>
  <si>
    <t>k.t</t>
  </si>
  <si>
    <t>5. saxelmwifo Sesyidvebis gegmiT gaTvaliswinebuli jamuri Tanxa dafinansebis wyaros Sesabamisad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</si>
  <si>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</si>
  <si>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</si>
  <si>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</si>
  <si>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saxmeleTo, wylisa da sahaero transportis damxmare momsaxurebebi</t>
  </si>
  <si>
    <t>ssip erovnuli satyeo saagento</t>
  </si>
  <si>
    <t xml:space="preserve">saofise manqana-danadgarebi, aRWurviloba da sakancelario nivTebi, kompiuterebis, printerebisa da avejis garda </t>
  </si>
  <si>
    <t>satransporto saSualebebisa da maTTan dakavSirebuli mowyobilobebis SekeTeba, teqnikuri momsaxureba da masTan dakavSirebuli momsaxurebebi</t>
  </si>
  <si>
    <t xml:space="preserve">programuli uzrunvelyofis SemuSaveba da sakonsultacio momsaxurebebi </t>
  </si>
  <si>
    <t>I-IV kv</t>
  </si>
  <si>
    <t>e.t</t>
  </si>
  <si>
    <t>satyeo meurneobasTan dakavSirebuli momsaxurbebi</t>
  </si>
  <si>
    <t>gamoZiebasa da usafrTxoebasTan dakavSirebuli momsaxurebebi</t>
  </si>
  <si>
    <t xml:space="preserve">akumulatorebi, denis pirveladi wyaroebi da pirveladi elementebi </t>
  </si>
  <si>
    <t xml:space="preserve">internetmomsaxurebebi </t>
  </si>
  <si>
    <t>radio da satelevizio momsaxurebebi</t>
  </si>
  <si>
    <t>Gg.S</t>
  </si>
  <si>
    <t>sadazRvevo da sapensio momsaxurebebi</t>
  </si>
  <si>
    <t>091 00000</t>
  </si>
  <si>
    <t xml:space="preserve">sawvavi  </t>
  </si>
  <si>
    <t>nawilebi da aqsesuarebi satransporto saSualebebisa da maTi ZravebisTvis</t>
  </si>
  <si>
    <t>biblioTekebis, arqivebis, muzeumebisa da sxva kulturuli dawesebulebebis momsaxurebebi</t>
  </si>
  <si>
    <t>savaraudo Rirebuleba</t>
  </si>
  <si>
    <t xml:space="preserve">satelekomunikacio momsaxurebebi </t>
  </si>
  <si>
    <t xml:space="preserve">qaRaldis an muyaos saregistracio Jurnalebi/wignebi, sabuRaltro wignebi, formebi da sxva nabeWdi sakancelario nivTebi </t>
  </si>
  <si>
    <t>markebi, Cekebis wignakebi, banknotebi, aqciebi, sareklamo masala, katalogebi  da saxelmZRvaneloebi</t>
  </si>
  <si>
    <t xml:space="preserve">personaluri kompiuterebis, saofise aparaturis, satelekomunikacio da audiovizualuri mowyobilobebis SekeTeba, teqnikuri momsaxureba da maTTan dakavSirebuli momsaxurebebi </t>
  </si>
  <si>
    <t>sxvadasxva qarxnuli warmoebis masala da maTTan dakavSirebuli sagnebi</t>
  </si>
  <si>
    <t>qselebi</t>
  </si>
  <si>
    <t>Senobis mowyobilobebis SekeTeba da teqnikuri momsaxureba</t>
  </si>
  <si>
    <t xml:space="preserve">tvirTis gadazidvisa da Senaxvis momsaxurebebi </t>
  </si>
  <si>
    <t>avtosatransporto saualebebi</t>
  </si>
  <si>
    <t>kompiuteruli mowyobilobebi da aqsesuarebi</t>
  </si>
  <si>
    <t>mTliani an nawilobrivi samSeneblo samuSaoebi da samoqalaqo mSeneblobis samuSaoebi</t>
  </si>
  <si>
    <t>administraciuli momsaxureba</t>
  </si>
  <si>
    <t>gasanaTebeli mowyobilobebi da eleqtronaTurebi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</si>
  <si>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</si>
  <si>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>axali ambebis saagentoebis momsaxurebebi</t>
  </si>
  <si>
    <t>teqnikuri Semowmeba, analizi da sakonsultacio momsaxurebebi</t>
  </si>
  <si>
    <t>092 00000</t>
  </si>
  <si>
    <t>navTobi, qvanaxSiri da navTobproduqtebi</t>
  </si>
  <si>
    <t>sxvadasxva zogadi da specialuri daniSnulebis manqana-danadgarebi</t>
  </si>
  <si>
    <t xml:space="preserve"> beWdva da masTan dakavSirebuli momsaxurebebi</t>
  </si>
  <si>
    <t>specialuri tansacmeli da aqsesuarebi</t>
  </si>
  <si>
    <t>fexsacmeli</t>
  </si>
  <si>
    <t>xelsawyoebi, saketebi, gasaRebebi, anjamebi, damWerebi, Wajvebi da zambarebi/resorebi</t>
  </si>
  <si>
    <t>saamqros danadgarebi</t>
  </si>
  <si>
    <t>amwe da gadasazidi mowyobilobebi da maTi nawilebi</t>
  </si>
  <si>
    <t>individualuri da damxmare mowyobilobebi</t>
  </si>
  <si>
    <t>Carxebi</t>
  </si>
  <si>
    <t>sasuqebi da nitrogenuli naerTebi</t>
  </si>
  <si>
    <t xml:space="preserve">sagangebo situaciebis dros gamosayenebeli mowyobilobebi da usafrTxoebis saSualebebi </t>
  </si>
  <si>
    <t>samuSao tansacmeli, spectansacmeli da aqsesuarebi</t>
  </si>
  <si>
    <t>avejis aqsesuarebi</t>
  </si>
  <si>
    <t>dasufTaveba da sanitariuli momsaxureba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</si>
  <si>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</si>
  <si>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sxvadasxva sakvebi produqtebi</t>
  </si>
  <si>
    <t>sasmelebi, Tambaqo da monaTesave produqtebi</t>
  </si>
  <si>
    <t>tansacmeli</t>
  </si>
  <si>
    <t>samkaulebi, saaTebi da monaTesave nivTebi</t>
  </si>
  <si>
    <t>farmacevtuli produqtebi</t>
  </si>
  <si>
    <t>qsovilis nivTebi</t>
  </si>
  <si>
    <t xml:space="preserve">samSeneblo masalebi da damxmare samSeneblo masalebi </t>
  </si>
  <si>
    <t>kabelebi, mavTulebi da maTTan dakavSirebuli masalebi</t>
  </si>
  <si>
    <t>saRebavebi, laqebi da mastikebi</t>
  </si>
  <si>
    <t>samSeneblo-samontaJo samuSaoebi</t>
  </si>
  <si>
    <t>Senobis dasrulebis samuSaoebi</t>
  </si>
  <si>
    <t>tumboebis, sarqvelebis, onkanebisa da liTonis konteinerebis, aseve, manqana-danadgarebis SekeTeba da teqnikuri momsaxureba</t>
  </si>
  <si>
    <t>sxvadasxva komerciuli momsaxureba da masTan dakavSirebuli momsaxurebebi</t>
  </si>
  <si>
    <t>sxvadasxva momsaxureba</t>
  </si>
  <si>
    <t xml:space="preserve">             saxelmwifo Sesyidvebis wliuri gegmis forma </t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</si>
  <si>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</si>
  <si>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t>III kv</t>
  </si>
  <si>
    <t>II kv</t>
  </si>
  <si>
    <t>qselebis, internetisa da intranetis programuli paketebi</t>
  </si>
  <si>
    <t>monacemTa bazisa da operaciuli programuli paketebi</t>
  </si>
  <si>
    <t>satreningo momsaxurebebi</t>
  </si>
  <si>
    <t>09200000</t>
  </si>
  <si>
    <t>sabargo nivTebi, sasarajo nakeTobebi, tomrebi da CanTebi</t>
  </si>
  <si>
    <t xml:space="preserve"> sxvadasxva nabeWdi masala</t>
  </si>
  <si>
    <t>samedicino mowyobilobebi</t>
  </si>
  <si>
    <t>bunebrivi wyali</t>
  </si>
  <si>
    <t>saqmiani garigebebisa da piradi saqmeebis marTvis programuli paketebi</t>
  </si>
  <si>
    <t>kanonis  me-10¹ muxlis me-3 punqtis "z" qvepunqti</t>
  </si>
  <si>
    <t>ofisis muSaobis uzrunvelyofasTan dakavSirebuli momsaxurebebi</t>
  </si>
  <si>
    <t xml:space="preserve">             saxelmwifo Sesyidvebis wliuri gegmis forma</t>
  </si>
  <si>
    <t>034 00000</t>
  </si>
  <si>
    <t>metyeveobisa da tyekafvis produqtebi</t>
  </si>
  <si>
    <t>radiotelefoniis, radiosatelegrafo, radio da telemauwyeblobis aparatura</t>
  </si>
  <si>
    <t>struqturuli masalebi</t>
  </si>
  <si>
    <t>safosto da sakuriero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</si>
  <si>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"b" qvepunqti</t>
    </r>
  </si>
  <si>
    <t>tele da radiosignalis mimRebebi da audio an videogamosaxulebis Camweri an aRwarmoebis aparatura</t>
  </si>
  <si>
    <t>sxvadasxva satransporto mowyobiloba da saTadarigo nawilebi</t>
  </si>
  <si>
    <t xml:space="preserve"> sazomi xelsawyoebi</t>
  </si>
  <si>
    <t>ZiriTadi araorganuli da organuli qimikatebi</t>
  </si>
  <si>
    <t>eleqtromowyobilobebi da aparatura</t>
  </si>
  <si>
    <t xml:space="preserve"> samedicino mowyobilobebi</t>
  </si>
  <si>
    <t>ssip - erovnuli satyeo saagento</t>
  </si>
  <si>
    <t>III-IV kv</t>
  </si>
  <si>
    <t>iaraRi, sabrZolo masala da aqsesuarebi (Tanmdevi nawilebi)</t>
  </si>
  <si>
    <t>IV kv</t>
  </si>
  <si>
    <t>optikuri xelsawyoebi</t>
  </si>
  <si>
    <t>saojaxo teqnika</t>
  </si>
  <si>
    <t>saavtomobilo transportis momsaxurebebi</t>
  </si>
  <si>
    <t xml:space="preserve">              danarTi #2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</si>
  <si>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
30 dekemberi 2022 weli</t>
    </r>
  </si>
  <si>
    <r>
      <t xml:space="preserve">4. dafinansebis wyaro                                                 </t>
    </r>
    <r>
      <rPr>
        <b/>
        <sz val="9"/>
        <rFont val="AcadNusx"/>
      </rPr>
      <t>saxelmwifo biujeti</t>
    </r>
  </si>
  <si>
    <t>erToblivi tenderi</t>
  </si>
  <si>
    <t>izolirebuli mavTuli da kabeli</t>
  </si>
  <si>
    <t>II-IV kv</t>
  </si>
  <si>
    <t xml:space="preserve"> xelsawyoebi, saketebi, gasaRebebi, anjamebi, damWerebi, Wajvebi da zambarebi/resorebi</t>
  </si>
  <si>
    <t>samSeneblo da samoqalaqo mSeneblobis/inJineriis manqana-danadgarebisa da maTi operatorebis daqiraveba</t>
  </si>
  <si>
    <t>sxvadasxva saxis saremonto (SesakeTebeli) samuSaoebi da teqnikuri momsaxureba</t>
  </si>
  <si>
    <t xml:space="preserve">restornebisa da kvebis sawarmoebis momsaxureobebi </t>
  </si>
  <si>
    <t>sainJinro momsaxurebebi</t>
  </si>
  <si>
    <t>biznessa da menejmentTan dakavSirebuli konsultaciebi da momsaxurebebi</t>
  </si>
  <si>
    <t xml:space="preserve">               danarTi #1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</si>
  <si>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30 dekemberi 2022 weli</t>
    </r>
  </si>
  <si>
    <r>
      <t xml:space="preserve">4. dafinansebis wyaro                                                                                </t>
    </r>
    <r>
      <rPr>
        <b/>
        <sz val="9"/>
        <rFont val="AcadNusx"/>
      </rPr>
      <t>sakuTari saxsrebi</t>
    </r>
  </si>
  <si>
    <t>teqstilis narTi da Zafi</t>
  </si>
  <si>
    <t>eleqtroZravebi, generatorebi da transformatorebi</t>
  </si>
  <si>
    <t>piradi higienis saSualebebi</t>
  </si>
  <si>
    <t xml:space="preserve">                  danarTi #3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</si>
  <si>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18 aprili 2022 weli</t>
    </r>
  </si>
  <si>
    <t>samxedro sahaero xomaldebi/TviTmfrinavebi, raketebi da</t>
  </si>
  <si>
    <t>ე.ტ</t>
  </si>
  <si>
    <t xml:space="preserve">                  danarTi #6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</si>
  <si>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31 აგვისტო 2022 weli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</si>
  <si>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(GIZ) (GCF)      </t>
    </r>
    <r>
      <rPr>
        <b/>
        <sz val="9"/>
        <rFont val="AcadNusx"/>
      </rPr>
      <t xml:space="preserve">                                                                                       </t>
    </r>
  </si>
  <si>
    <t>mravalwliani (2 weli)</t>
  </si>
  <si>
    <t>samxedro sahaero xomaldebi/TviTmfrinavebi, raketebi da kosmosuri xomaldebi</t>
  </si>
  <si>
    <t>miwis saTxreli da saxapavi manqanebi da maTi (maTTan dakavSirebuli) nawilebi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</si>
  <si>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 </t>
    </r>
  </si>
  <si>
    <t>sastumros momsaxureba</t>
  </si>
  <si>
    <t>mravalwliani (3 weli)</t>
  </si>
  <si>
    <t>sabuRaltro, auditoruli da fiskaluri momsaxurebebi</t>
  </si>
  <si>
    <t xml:space="preserve">                  danarTi #4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</si>
  <si>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24 agvisto 2022 weli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</si>
  <si>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(UNDP)      </t>
    </r>
    <r>
      <rPr>
        <b/>
        <sz val="9"/>
        <rFont val="AcadNusx"/>
      </rPr>
      <t xml:space="preserve">                                                                           (xelSekruleba unomro 24.04.2020) (№2019; 22.06.2020)                 (№2486; 05.04.2022)</t>
    </r>
  </si>
  <si>
    <t>093 00000</t>
  </si>
  <si>
    <t>eleqtroenergia, gaTboba, mzisa da birTvuli energia</t>
  </si>
  <si>
    <t>22400000</t>
  </si>
  <si>
    <t>55100000</t>
  </si>
  <si>
    <t xml:space="preserve">                  danarTi #5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</si>
  <si>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12 სექტემბერი 2022 weli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</si>
  <si>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(UNDP)      </t>
    </r>
    <r>
      <rPr>
        <b/>
        <sz val="9"/>
        <rFont val="AcadNusx"/>
      </rPr>
      <t xml:space="preserve">                                                                           (2022 wlis 07 ivlisis sagranto dokumenti mowonebuli saqarTvelos mTavrobis 2022 wlis 08 agvistos №1402 gankargulebiT)                 </t>
    </r>
  </si>
  <si>
    <t>31100000</t>
  </si>
  <si>
    <t>32200000</t>
  </si>
  <si>
    <t>34100000</t>
  </si>
  <si>
    <t>35100000</t>
  </si>
  <si>
    <t>43200000</t>
  </si>
  <si>
    <t>45200000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</si>
</sst>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.000"/>
  </numFmts>
  <fonts count="32" x14ac:knownFonts="1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cadNusx"/>
    </font>
    <font>
      <sz val="10"/>
      <name val="AcadNusx"/>
    </font>
    <font>
      <sz val="7"/>
      <name val="AcadNusx"/>
    </font>
    <font>
      <sz val="6"/>
      <name val="AcadNusx"/>
    </font>
    <font>
      <sz val="9"/>
      <name val="AcadNusx"/>
    </font>
    <font>
      <sz val="8"/>
      <name val="AcadNusx"/>
    </font>
    <font>
      <sz val="8"/>
      <name val="Times New Roman"/>
      <family val="1"/>
      <charset val="204"/>
    </font>
    <font>
      <sz val="10"/>
      <color rgb="FFFF0000"/>
      <name val="AcadNusx"/>
    </font>
    <font>
      <b/>
      <sz val="8"/>
      <name val="AcadNusx"/>
    </font>
    <font>
      <sz val="7"/>
      <name val="Calibri"/>
      <family val="2"/>
      <charset val="204"/>
    </font>
    <font>
      <sz val="10"/>
      <name val="Arial"/>
      <family val="2"/>
    </font>
    <font>
      <sz val="8"/>
      <color rgb="FFFF0000"/>
      <name val="AcadNusx"/>
    </font>
    <font>
      <b/>
      <i/>
      <sz val="9"/>
      <name val="AcadNusx"/>
    </font>
    <font>
      <b/>
      <sz val="9"/>
      <name val="AcadNusx"/>
    </font>
    <font>
      <sz val="9"/>
      <name val="Arial"/>
      <family val="2"/>
    </font>
    <font>
      <b/>
      <sz val="9"/>
      <color rgb="FF00B050"/>
      <name val="AcadNusx"/>
    </font>
    <font>
      <b/>
      <sz val="9"/>
      <color rgb="FFFF0000"/>
      <name val="AcadNusx"/>
    </font>
    <font>
      <sz val="9"/>
      <color theme="1"/>
      <name val="AcadNusx"/>
    </font>
    <font>
      <b/>
      <sz val="9"/>
      <name val="Times New Roman"/>
      <family val="1"/>
    </font>
    <font>
      <b/>
      <sz val="10"/>
      <color rgb="FFFF0000"/>
      <name val="AcadNusx"/>
    </font>
    <font>
      <b/>
      <sz val="10"/>
      <color rgb="FF0070C0"/>
      <name val="AcadNusx"/>
    </font>
    <font>
      <b/>
      <sz val="10"/>
      <color rgb="FF00B050"/>
      <name val="AcadNusx"/>
    </font>
    <font>
      <sz val="9"/>
      <color rgb="FFFF0000"/>
      <name val="AcadNusx"/>
    </font>
    <font>
      <b/>
      <sz val="9"/>
      <name val="Sylfaen"/>
      <family val="1"/>
    </font>
    <font>
      <b/>
      <sz val="7"/>
      <color rgb="FF0070C0"/>
      <name val="AcadNusx"/>
    </font>
    <font>
      <b/>
      <sz val="7"/>
      <name val="AcadNusx"/>
    </font>
    <font>
      <sz val="6"/>
      <color rgb="FFFF0000"/>
      <name val="AcadNusx"/>
    </font>
    <font>
      <b/>
      <sz val="11"/>
      <name val="AcadNusx"/>
    </font>
    <font>
      <sz val="11"/>
      <name val="AcadNusx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8">
    <xf numFmtId="0" fontId="0" fillId="0" borderId="0" xfId="0"/>
    <xf numFmtId="164" fontId="3" fillId="0" borderId="0" xfId="1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19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2" fontId="2" fillId="0" borderId="0" xfId="1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2" fontId="18" fillId="0" borderId="1" xfId="1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" fontId="3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29" fillId="0" borderId="3" xfId="0" applyNumberFormat="1" applyFont="1" applyFill="1" applyBorder="1" applyAlignment="1">
      <alignment horizontal="center" vertical="center" wrapText="1"/>
    </xf>
    <xf numFmtId="2" fontId="3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6569</xdr:colOff>
      <xdr:row>1</xdr:row>
      <xdr:rowOff>150100</xdr:rowOff>
    </xdr:from>
    <xdr:to>
      <xdr:col>2</xdr:col>
      <xdr:colOff>269327</xdr:colOff>
      <xdr:row>4</xdr:row>
      <xdr:rowOff>183931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59" y="380014"/>
          <a:ext cx="932792" cy="920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87</xdr:row>
      <xdr:rowOff>0</xdr:rowOff>
    </xdr:from>
    <xdr:to>
      <xdr:col>5</xdr:col>
      <xdr:colOff>981075</xdr:colOff>
      <xdr:row>87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629150" y="39719250"/>
          <a:ext cx="2409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87</xdr:row>
      <xdr:rowOff>9525</xdr:rowOff>
    </xdr:from>
    <xdr:to>
      <xdr:col>5</xdr:col>
      <xdr:colOff>971550</xdr:colOff>
      <xdr:row>87</xdr:row>
      <xdr:rowOff>9525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4629150" y="39728775"/>
          <a:ext cx="2409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981075</xdr:colOff>
      <xdr:row>85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4629150" y="30289500"/>
          <a:ext cx="2409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92</xdr:row>
      <xdr:rowOff>9525</xdr:rowOff>
    </xdr:from>
    <xdr:to>
      <xdr:col>5</xdr:col>
      <xdr:colOff>981075</xdr:colOff>
      <xdr:row>92</xdr:row>
      <xdr:rowOff>9525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 flipV="1">
          <a:off x="4629150" y="31699200"/>
          <a:ext cx="2409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85</xdr:row>
      <xdr:rowOff>9525</xdr:rowOff>
    </xdr:from>
    <xdr:to>
      <xdr:col>5</xdr:col>
      <xdr:colOff>971550</xdr:colOff>
      <xdr:row>85</xdr:row>
      <xdr:rowOff>9525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 flipV="1">
          <a:off x="4629150" y="30299025"/>
          <a:ext cx="2409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1</xdr:row>
      <xdr:rowOff>95250</xdr:rowOff>
    </xdr:from>
    <xdr:to>
      <xdr:col>2</xdr:col>
      <xdr:colOff>315059</xdr:colOff>
      <xdr:row>4</xdr:row>
      <xdr:rowOff>139212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58" y="322385"/>
          <a:ext cx="923193" cy="9305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66</xdr:row>
      <xdr:rowOff>0</xdr:rowOff>
    </xdr:from>
    <xdr:to>
      <xdr:col>5</xdr:col>
      <xdr:colOff>981075</xdr:colOff>
      <xdr:row>66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4505325" y="275367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70</xdr:row>
      <xdr:rowOff>9525</xdr:rowOff>
    </xdr:from>
    <xdr:to>
      <xdr:col>5</xdr:col>
      <xdr:colOff>981075</xdr:colOff>
      <xdr:row>70</xdr:row>
      <xdr:rowOff>9525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 flipV="1">
          <a:off x="4505325" y="2892742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66</xdr:row>
      <xdr:rowOff>9525</xdr:rowOff>
    </xdr:from>
    <xdr:to>
      <xdr:col>6</xdr:col>
      <xdr:colOff>2931</xdr:colOff>
      <xdr:row>66</xdr:row>
      <xdr:rowOff>9525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 flipV="1">
          <a:off x="4506058" y="27544102"/>
          <a:ext cx="2318238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981075</xdr:colOff>
      <xdr:row>67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505325" y="2793682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72</xdr:row>
      <xdr:rowOff>9525</xdr:rowOff>
    </xdr:from>
    <xdr:to>
      <xdr:col>5</xdr:col>
      <xdr:colOff>981075</xdr:colOff>
      <xdr:row>72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4505325" y="2888932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67</xdr:row>
      <xdr:rowOff>9525</xdr:rowOff>
    </xdr:from>
    <xdr:to>
      <xdr:col>5</xdr:col>
      <xdr:colOff>971550</xdr:colOff>
      <xdr:row>67</xdr:row>
      <xdr:rowOff>9525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4505325" y="27946350"/>
          <a:ext cx="23145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25</xdr:row>
      <xdr:rowOff>0</xdr:rowOff>
    </xdr:from>
    <xdr:to>
      <xdr:col>5</xdr:col>
      <xdr:colOff>981075</xdr:colOff>
      <xdr:row>25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124450" y="1109662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25</xdr:row>
      <xdr:rowOff>9525</xdr:rowOff>
    </xdr:from>
    <xdr:to>
      <xdr:col>5</xdr:col>
      <xdr:colOff>971550</xdr:colOff>
      <xdr:row>25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5133975" y="1110615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80597</xdr:colOff>
      <xdr:row>0</xdr:row>
      <xdr:rowOff>146539</xdr:rowOff>
    </xdr:from>
    <xdr:to>
      <xdr:col>2</xdr:col>
      <xdr:colOff>344366</xdr:colOff>
      <xdr:row>4</xdr:row>
      <xdr:rowOff>183173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39" y="146539"/>
          <a:ext cx="930519" cy="8572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619125</xdr:colOff>
      <xdr:row>25</xdr:row>
      <xdr:rowOff>0</xdr:rowOff>
    </xdr:from>
    <xdr:to>
      <xdr:col>5</xdr:col>
      <xdr:colOff>981075</xdr:colOff>
      <xdr:row>25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5124450" y="89725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25</xdr:row>
      <xdr:rowOff>9525</xdr:rowOff>
    </xdr:from>
    <xdr:to>
      <xdr:col>5</xdr:col>
      <xdr:colOff>971550</xdr:colOff>
      <xdr:row>25</xdr:row>
      <xdr:rowOff>9525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 flipV="1">
          <a:off x="5133975" y="8982075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15</xdr:row>
      <xdr:rowOff>0</xdr:rowOff>
    </xdr:from>
    <xdr:to>
      <xdr:col>5</xdr:col>
      <xdr:colOff>981075</xdr:colOff>
      <xdr:row>15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124450" y="59055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20</xdr:row>
      <xdr:rowOff>9525</xdr:rowOff>
    </xdr:from>
    <xdr:to>
      <xdr:col>5</xdr:col>
      <xdr:colOff>981075</xdr:colOff>
      <xdr:row>20</xdr:row>
      <xdr:rowOff>9525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V="1">
          <a:off x="5133975" y="71818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15</xdr:row>
      <xdr:rowOff>9525</xdr:rowOff>
    </xdr:from>
    <xdr:to>
      <xdr:col>5</xdr:col>
      <xdr:colOff>971550</xdr:colOff>
      <xdr:row>15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5133975" y="5915025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619125</xdr:colOff>
      <xdr:row>15</xdr:row>
      <xdr:rowOff>0</xdr:rowOff>
    </xdr:from>
    <xdr:to>
      <xdr:col>5</xdr:col>
      <xdr:colOff>981075</xdr:colOff>
      <xdr:row>15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124450" y="999172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20</xdr:row>
      <xdr:rowOff>9525</xdr:rowOff>
    </xdr:from>
    <xdr:to>
      <xdr:col>5</xdr:col>
      <xdr:colOff>981075</xdr:colOff>
      <xdr:row>20</xdr:row>
      <xdr:rowOff>9525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V="1">
          <a:off x="5133975" y="1126807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15</xdr:row>
      <xdr:rowOff>9525</xdr:rowOff>
    </xdr:from>
    <xdr:to>
      <xdr:col>5</xdr:col>
      <xdr:colOff>971550</xdr:colOff>
      <xdr:row>15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5133975" y="1000125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82826</xdr:colOff>
      <xdr:row>0</xdr:row>
      <xdr:rowOff>215348</xdr:rowOff>
    </xdr:from>
    <xdr:to>
      <xdr:col>2</xdr:col>
      <xdr:colOff>370806</xdr:colOff>
      <xdr:row>5</xdr:row>
      <xdr:rowOff>89861</xdr:rowOff>
    </xdr:to>
    <xdr:pic>
      <xdr:nvPicPr>
        <xdr:cNvPr id="8" name="Picture 7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587" y="215348"/>
          <a:ext cx="958871" cy="11086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80597</xdr:colOff>
      <xdr:row>0</xdr:row>
      <xdr:rowOff>146539</xdr:rowOff>
    </xdr:from>
    <xdr:to>
      <xdr:col>2</xdr:col>
      <xdr:colOff>372718</xdr:colOff>
      <xdr:row>5</xdr:row>
      <xdr:rowOff>24848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358" y="146539"/>
          <a:ext cx="963012" cy="1112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80597</xdr:colOff>
      <xdr:row>0</xdr:row>
      <xdr:rowOff>146539</xdr:rowOff>
    </xdr:from>
    <xdr:to>
      <xdr:col>2</xdr:col>
      <xdr:colOff>372718</xdr:colOff>
      <xdr:row>5</xdr:row>
      <xdr:rowOff>24848</xdr:rowOff>
    </xdr:to>
    <xdr:pic>
      <xdr:nvPicPr>
        <xdr:cNvPr id="2" name="Picture 1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72" y="146539"/>
          <a:ext cx="958871" cy="110703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619125</xdr:colOff>
      <xdr:row>18</xdr:row>
      <xdr:rowOff>0</xdr:rowOff>
    </xdr:from>
    <xdr:to>
      <xdr:col>5</xdr:col>
      <xdr:colOff>981075</xdr:colOff>
      <xdr:row>18</xdr:row>
      <xdr:rowOff>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5124450" y="64293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18</xdr:row>
      <xdr:rowOff>9525</xdr:rowOff>
    </xdr:from>
    <xdr:to>
      <xdr:col>5</xdr:col>
      <xdr:colOff>971550</xdr:colOff>
      <xdr:row>18</xdr:row>
      <xdr:rowOff>9525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V="1">
          <a:off x="5133975" y="643890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124450" y="59626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5133975" y="5972175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view="pageBreakPreview" topLeftCell="A67" zoomScale="130" zoomScaleNormal="145" zoomScaleSheetLayoutView="130" workbookViewId="0">
      <selection activeCell="G72" sqref="G72"/>
    </sheetView>
  </sheetViews>
  <sheetFormatPr defaultRowHeight="13.5" x14ac:dyDescent="0.2"/>
  <cols>
    <col min="1" max="1" width="3.85546875" style="49" customWidth="1"/>
    <col min="2" max="2" width="10" style="49" customWidth="1"/>
    <col min="3" max="3" width="55.5703125" style="21" customWidth="1"/>
    <col min="4" max="4" width="11.42578125" style="1" customWidth="1"/>
    <col min="5" max="5" width="10.42578125" style="21" customWidth="1"/>
    <col min="6" max="6" width="12.42578125" style="21" bestFit="1" customWidth="1"/>
    <col min="7" max="7" width="10.7109375" style="21" customWidth="1"/>
    <col min="8" max="8" width="43.5703125" style="21" customWidth="1"/>
    <col min="9" max="9" width="20.85546875" style="8" customWidth="1"/>
    <col min="10" max="16384" width="9.140625" style="21"/>
  </cols>
  <sheetData>
    <row r="1" spans="1:9" ht="6" customHeight="1" x14ac:dyDescent="0.2"/>
    <row r="2" spans="1:9" s="9" customFormat="1" ht="23.25" customHeight="1" x14ac:dyDescent="0.2">
      <c r="A2" s="21"/>
      <c r="B2" s="21"/>
      <c r="C2" s="21"/>
      <c r="D2" s="1"/>
      <c r="E2" s="21"/>
      <c r="F2" s="21"/>
      <c r="G2" s="21"/>
      <c r="H2" s="16" t="s">
        <v>119</v>
      </c>
    </row>
    <row r="3" spans="1:9" s="9" customFormat="1" ht="20.25" customHeight="1" x14ac:dyDescent="0.2">
      <c r="A3" s="21"/>
      <c r="B3" s="21"/>
      <c r="C3" s="81" t="s">
        <v>99</v>
      </c>
      <c r="D3" s="81"/>
      <c r="E3" s="81"/>
      <c r="F3" s="81"/>
      <c r="G3" s="81"/>
      <c r="H3" s="21"/>
    </row>
    <row r="4" spans="1:9" s="9" customFormat="1" ht="26.25" customHeight="1" x14ac:dyDescent="0.2">
      <c r="A4" s="70" t="s">
        <v>120</v>
      </c>
      <c r="B4" s="71"/>
      <c r="C4" s="71"/>
      <c r="D4" s="71"/>
      <c r="E4" s="72"/>
      <c r="F4" s="82" t="s">
        <v>7</v>
      </c>
      <c r="G4" s="83"/>
      <c r="H4" s="84"/>
    </row>
    <row r="5" spans="1:9" s="9" customFormat="1" ht="18.75" customHeight="1" x14ac:dyDescent="0.2">
      <c r="A5" s="78"/>
      <c r="B5" s="79"/>
      <c r="C5" s="79"/>
      <c r="D5" s="79"/>
      <c r="E5" s="80"/>
      <c r="F5" s="85">
        <v>204578581</v>
      </c>
      <c r="G5" s="86"/>
      <c r="H5" s="87"/>
    </row>
    <row r="6" spans="1:9" s="9" customFormat="1" ht="22.5" customHeight="1" x14ac:dyDescent="0.2">
      <c r="A6" s="70" t="s">
        <v>8</v>
      </c>
      <c r="B6" s="71"/>
      <c r="C6" s="71"/>
      <c r="D6" s="71"/>
      <c r="E6" s="72"/>
      <c r="F6" s="70" t="s">
        <v>121</v>
      </c>
      <c r="G6" s="71"/>
      <c r="H6" s="72"/>
    </row>
    <row r="7" spans="1:9" s="9" customFormat="1" ht="21.75" customHeight="1" x14ac:dyDescent="0.2">
      <c r="A7" s="85" t="s">
        <v>19</v>
      </c>
      <c r="B7" s="86"/>
      <c r="C7" s="86"/>
      <c r="D7" s="86"/>
      <c r="E7" s="87"/>
      <c r="F7" s="78"/>
      <c r="G7" s="79"/>
      <c r="H7" s="80"/>
    </row>
    <row r="8" spans="1:9" s="9" customFormat="1" ht="21" customHeight="1" x14ac:dyDescent="0.2">
      <c r="A8" s="70" t="s">
        <v>14</v>
      </c>
      <c r="B8" s="71"/>
      <c r="C8" s="71"/>
      <c r="D8" s="71"/>
      <c r="E8" s="71"/>
      <c r="F8" s="71"/>
      <c r="G8" s="71"/>
      <c r="H8" s="72"/>
    </row>
    <row r="9" spans="1:9" s="11" customFormat="1" ht="15.75" customHeight="1" x14ac:dyDescent="0.2">
      <c r="A9" s="73">
        <f>6596351.91+1109100</f>
        <v>7705451.9100000001</v>
      </c>
      <c r="B9" s="74"/>
      <c r="C9" s="74"/>
      <c r="D9" s="74"/>
      <c r="E9" s="74"/>
      <c r="F9" s="74"/>
      <c r="G9" s="74"/>
      <c r="H9" s="75"/>
      <c r="I9" s="44"/>
    </row>
    <row r="10" spans="1:9" s="11" customFormat="1" ht="66.75" customHeight="1" x14ac:dyDescent="0.2">
      <c r="A10" s="48" t="s">
        <v>1</v>
      </c>
      <c r="B10" s="48" t="s">
        <v>2</v>
      </c>
      <c r="C10" s="48" t="s">
        <v>3</v>
      </c>
      <c r="D10" s="17" t="s">
        <v>36</v>
      </c>
      <c r="E10" s="48" t="s">
        <v>4</v>
      </c>
      <c r="F10" s="48" t="s">
        <v>5</v>
      </c>
      <c r="G10" s="48" t="s">
        <v>6</v>
      </c>
      <c r="H10" s="48" t="s">
        <v>0</v>
      </c>
      <c r="I10" s="44"/>
    </row>
    <row r="11" spans="1:9" s="11" customFormat="1" ht="15" customHeight="1" x14ac:dyDescent="0.2">
      <c r="A11" s="48">
        <v>1</v>
      </c>
      <c r="B11" s="48">
        <v>2</v>
      </c>
      <c r="C11" s="48">
        <v>3</v>
      </c>
      <c r="D11" s="12">
        <v>4</v>
      </c>
      <c r="E11" s="48">
        <v>5</v>
      </c>
      <c r="F11" s="48">
        <v>6</v>
      </c>
      <c r="G11" s="48">
        <v>7</v>
      </c>
      <c r="H11" s="48">
        <v>8</v>
      </c>
      <c r="I11" s="44"/>
    </row>
    <row r="12" spans="1:9" ht="23.25" customHeight="1" x14ac:dyDescent="0.2">
      <c r="A12" s="48">
        <v>1</v>
      </c>
      <c r="B12" s="52" t="s">
        <v>100</v>
      </c>
      <c r="C12" s="48" t="s">
        <v>101</v>
      </c>
      <c r="D12" s="12">
        <f>1109-709</f>
        <v>400</v>
      </c>
      <c r="E12" s="48" t="s">
        <v>9</v>
      </c>
      <c r="F12" s="13" t="s">
        <v>11</v>
      </c>
      <c r="G12" s="13" t="s">
        <v>23</v>
      </c>
      <c r="H12" s="14"/>
      <c r="I12" s="21"/>
    </row>
    <row r="13" spans="1:9" ht="23.25" customHeight="1" x14ac:dyDescent="0.2">
      <c r="A13" s="48">
        <v>2</v>
      </c>
      <c r="B13" s="13" t="s">
        <v>32</v>
      </c>
      <c r="C13" s="48" t="s">
        <v>33</v>
      </c>
      <c r="D13" s="34">
        <f>920352.91-11500</f>
        <v>908852.91</v>
      </c>
      <c r="E13" s="48" t="s">
        <v>13</v>
      </c>
      <c r="F13" s="13" t="s">
        <v>11</v>
      </c>
      <c r="G13" s="13" t="s">
        <v>23</v>
      </c>
      <c r="H13" s="14" t="s">
        <v>12</v>
      </c>
      <c r="I13" s="31"/>
    </row>
    <row r="14" spans="1:9" ht="23.25" customHeight="1" x14ac:dyDescent="0.2">
      <c r="A14" s="48">
        <v>3</v>
      </c>
      <c r="B14" s="52" t="s">
        <v>53</v>
      </c>
      <c r="C14" s="48" t="s">
        <v>54</v>
      </c>
      <c r="D14" s="12">
        <f>40555-20070+5720</f>
        <v>26205</v>
      </c>
      <c r="E14" s="48" t="s">
        <v>13</v>
      </c>
      <c r="F14" s="13" t="s">
        <v>11</v>
      </c>
      <c r="G14" s="13" t="s">
        <v>23</v>
      </c>
      <c r="H14" s="14" t="s">
        <v>12</v>
      </c>
      <c r="I14" s="21"/>
    </row>
    <row r="15" spans="1:9" ht="23.25" customHeight="1" x14ac:dyDescent="0.2">
      <c r="A15" s="48">
        <v>4</v>
      </c>
      <c r="B15" s="52">
        <v>15800000</v>
      </c>
      <c r="C15" s="48" t="s">
        <v>70</v>
      </c>
      <c r="D15" s="12">
        <v>2450</v>
      </c>
      <c r="E15" s="48" t="s">
        <v>9</v>
      </c>
      <c r="F15" s="13" t="s">
        <v>115</v>
      </c>
      <c r="G15" s="13" t="s">
        <v>115</v>
      </c>
      <c r="H15" s="14" t="s">
        <v>69</v>
      </c>
    </row>
    <row r="16" spans="1:9" s="10" customFormat="1" ht="23.25" customHeight="1" x14ac:dyDescent="0.2">
      <c r="A16" s="48">
        <v>5</v>
      </c>
      <c r="B16" s="52">
        <v>15900000</v>
      </c>
      <c r="C16" s="48" t="s">
        <v>71</v>
      </c>
      <c r="D16" s="12">
        <f>1000-118</f>
        <v>882</v>
      </c>
      <c r="E16" s="48" t="s">
        <v>9</v>
      </c>
      <c r="F16" s="13" t="s">
        <v>11</v>
      </c>
      <c r="G16" s="13" t="s">
        <v>23</v>
      </c>
      <c r="H16" s="14" t="s">
        <v>69</v>
      </c>
    </row>
    <row r="17" spans="1:11" ht="23.25" customHeight="1" x14ac:dyDescent="0.2">
      <c r="A17" s="48">
        <v>6</v>
      </c>
      <c r="B17" s="48">
        <v>18400000</v>
      </c>
      <c r="C17" s="48" t="s">
        <v>57</v>
      </c>
      <c r="D17" s="12">
        <f>85050-990</f>
        <v>84060</v>
      </c>
      <c r="E17" s="48" t="s">
        <v>24</v>
      </c>
      <c r="F17" s="13" t="s">
        <v>11</v>
      </c>
      <c r="G17" s="13" t="s">
        <v>23</v>
      </c>
      <c r="H17" s="14"/>
      <c r="I17" s="31"/>
    </row>
    <row r="18" spans="1:11" ht="23.25" customHeight="1" x14ac:dyDescent="0.2">
      <c r="A18" s="48">
        <v>7</v>
      </c>
      <c r="B18" s="76">
        <v>18500000</v>
      </c>
      <c r="C18" s="76" t="s">
        <v>73</v>
      </c>
      <c r="D18" s="12">
        <f>4950+41</f>
        <v>4991</v>
      </c>
      <c r="E18" s="48" t="s">
        <v>9</v>
      </c>
      <c r="F18" s="13" t="s">
        <v>11</v>
      </c>
      <c r="G18" s="13" t="s">
        <v>23</v>
      </c>
      <c r="H18" s="14"/>
      <c r="I18" s="21"/>
    </row>
    <row r="19" spans="1:11" ht="23.25" customHeight="1" x14ac:dyDescent="0.2">
      <c r="A19" s="48">
        <v>8</v>
      </c>
      <c r="B19" s="77"/>
      <c r="C19" s="77"/>
      <c r="D19" s="12">
        <v>4000</v>
      </c>
      <c r="E19" s="48" t="s">
        <v>9</v>
      </c>
      <c r="F19" s="13" t="s">
        <v>115</v>
      </c>
      <c r="G19" s="13" t="s">
        <v>115</v>
      </c>
      <c r="H19" s="14" t="s">
        <v>69</v>
      </c>
      <c r="I19" s="31"/>
    </row>
    <row r="20" spans="1:11" ht="23.25" customHeight="1" x14ac:dyDescent="0.2">
      <c r="A20" s="48">
        <v>9</v>
      </c>
      <c r="B20" s="48">
        <v>18800000</v>
      </c>
      <c r="C20" s="48" t="s">
        <v>58</v>
      </c>
      <c r="D20" s="12">
        <f>76050-2253</f>
        <v>73797</v>
      </c>
      <c r="E20" s="48" t="s">
        <v>24</v>
      </c>
      <c r="F20" s="13" t="s">
        <v>11</v>
      </c>
      <c r="G20" s="13" t="s">
        <v>23</v>
      </c>
      <c r="H20" s="14"/>
      <c r="I20" s="21"/>
    </row>
    <row r="21" spans="1:11" ht="23.25" customHeight="1" x14ac:dyDescent="0.2">
      <c r="A21" s="48">
        <v>10</v>
      </c>
      <c r="B21" s="76">
        <v>22400000</v>
      </c>
      <c r="C21" s="76" t="s">
        <v>39</v>
      </c>
      <c r="D21" s="34">
        <f>32647.3+1754.3</f>
        <v>34401.599999999999</v>
      </c>
      <c r="E21" s="48" t="s">
        <v>24</v>
      </c>
      <c r="F21" s="13" t="s">
        <v>11</v>
      </c>
      <c r="G21" s="13" t="s">
        <v>23</v>
      </c>
      <c r="H21" s="14"/>
    </row>
    <row r="22" spans="1:11" ht="23.25" customHeight="1" x14ac:dyDescent="0.2">
      <c r="A22" s="48">
        <v>11</v>
      </c>
      <c r="B22" s="77"/>
      <c r="C22" s="77"/>
      <c r="D22" s="18">
        <f>600+2850</f>
        <v>3450</v>
      </c>
      <c r="E22" s="48" t="s">
        <v>24</v>
      </c>
      <c r="F22" s="13" t="s">
        <v>115</v>
      </c>
      <c r="G22" s="13" t="s">
        <v>115</v>
      </c>
      <c r="H22" s="14"/>
      <c r="I22" s="21"/>
    </row>
    <row r="23" spans="1:11" ht="23.25" customHeight="1" x14ac:dyDescent="0.2">
      <c r="A23" s="48">
        <v>12</v>
      </c>
      <c r="B23" s="48">
        <v>22800000</v>
      </c>
      <c r="C23" s="48" t="s">
        <v>38</v>
      </c>
      <c r="D23" s="12">
        <f>4000-342</f>
        <v>3658</v>
      </c>
      <c r="E23" s="48" t="s">
        <v>24</v>
      </c>
      <c r="F23" s="13" t="s">
        <v>11</v>
      </c>
      <c r="G23" s="13" t="s">
        <v>23</v>
      </c>
      <c r="H23" s="14"/>
    </row>
    <row r="24" spans="1:11" ht="23.25" customHeight="1" x14ac:dyDescent="0.2">
      <c r="A24" s="48">
        <v>13</v>
      </c>
      <c r="B24" s="76">
        <v>30100000</v>
      </c>
      <c r="C24" s="76" t="s">
        <v>20</v>
      </c>
      <c r="D24" s="23">
        <f>19366+1900</f>
        <v>21266</v>
      </c>
      <c r="E24" s="48" t="s">
        <v>24</v>
      </c>
      <c r="F24" s="13" t="s">
        <v>11</v>
      </c>
      <c r="G24" s="13" t="s">
        <v>23</v>
      </c>
      <c r="H24" s="15"/>
    </row>
    <row r="25" spans="1:11" ht="23.25" customHeight="1" x14ac:dyDescent="0.2">
      <c r="A25" s="48">
        <v>14</v>
      </c>
      <c r="B25" s="77"/>
      <c r="C25" s="77"/>
      <c r="D25" s="23">
        <f>16000-14200</f>
        <v>1800</v>
      </c>
      <c r="E25" s="48" t="s">
        <v>13</v>
      </c>
      <c r="F25" s="13" t="s">
        <v>11</v>
      </c>
      <c r="G25" s="13" t="s">
        <v>23</v>
      </c>
      <c r="H25" s="14" t="s">
        <v>12</v>
      </c>
      <c r="I25" s="31"/>
    </row>
    <row r="26" spans="1:11" ht="23.25" customHeight="1" x14ac:dyDescent="0.2">
      <c r="A26" s="48">
        <v>15</v>
      </c>
      <c r="B26" s="76">
        <v>30200000</v>
      </c>
      <c r="C26" s="76" t="s">
        <v>46</v>
      </c>
      <c r="D26" s="58">
        <f>150490-82970</f>
        <v>67520</v>
      </c>
      <c r="E26" s="48" t="s">
        <v>13</v>
      </c>
      <c r="F26" s="13" t="s">
        <v>115</v>
      </c>
      <c r="G26" s="13" t="s">
        <v>115</v>
      </c>
      <c r="H26" s="14" t="s">
        <v>12</v>
      </c>
      <c r="I26" s="31"/>
    </row>
    <row r="27" spans="1:11" ht="23.25" customHeight="1" x14ac:dyDescent="0.2">
      <c r="A27" s="48">
        <v>16</v>
      </c>
      <c r="B27" s="88"/>
      <c r="C27" s="88"/>
      <c r="D27" s="19">
        <f>38400+18150</f>
        <v>56550</v>
      </c>
      <c r="E27" s="48" t="s">
        <v>24</v>
      </c>
      <c r="F27" s="13" t="s">
        <v>11</v>
      </c>
      <c r="G27" s="13" t="s">
        <v>23</v>
      </c>
      <c r="H27" s="14" t="s">
        <v>122</v>
      </c>
      <c r="I27" s="31"/>
    </row>
    <row r="28" spans="1:11" ht="23.25" customHeight="1" x14ac:dyDescent="0.2">
      <c r="A28" s="48">
        <v>17</v>
      </c>
      <c r="B28" s="77"/>
      <c r="C28" s="77"/>
      <c r="D28" s="59">
        <f>310691.3-102532.05</f>
        <v>208159.25</v>
      </c>
      <c r="E28" s="48" t="s">
        <v>24</v>
      </c>
      <c r="F28" s="13" t="s">
        <v>11</v>
      </c>
      <c r="G28" s="13" t="s">
        <v>23</v>
      </c>
      <c r="H28" s="14" t="s">
        <v>122</v>
      </c>
      <c r="I28" s="21"/>
    </row>
    <row r="29" spans="1:11" ht="23.25" customHeight="1" x14ac:dyDescent="0.2">
      <c r="A29" s="48">
        <v>18</v>
      </c>
      <c r="B29" s="48">
        <v>31300000</v>
      </c>
      <c r="C29" s="48" t="s">
        <v>123</v>
      </c>
      <c r="D29" s="12">
        <v>2600</v>
      </c>
      <c r="E29" s="48" t="s">
        <v>9</v>
      </c>
      <c r="F29" s="13" t="s">
        <v>11</v>
      </c>
      <c r="G29" s="13" t="s">
        <v>23</v>
      </c>
      <c r="H29" s="14"/>
      <c r="I29" s="31"/>
    </row>
    <row r="30" spans="1:11" ht="23.25" customHeight="1" x14ac:dyDescent="0.2">
      <c r="A30" s="48">
        <v>19</v>
      </c>
      <c r="B30" s="76">
        <v>31400000</v>
      </c>
      <c r="C30" s="76" t="s">
        <v>27</v>
      </c>
      <c r="D30" s="12">
        <f>1000-450</f>
        <v>550</v>
      </c>
      <c r="E30" s="48" t="s">
        <v>9</v>
      </c>
      <c r="F30" s="13" t="s">
        <v>11</v>
      </c>
      <c r="G30" s="13" t="s">
        <v>23</v>
      </c>
      <c r="H30" s="14"/>
      <c r="I30" s="31"/>
    </row>
    <row r="31" spans="1:11" ht="23.25" customHeight="1" x14ac:dyDescent="0.2">
      <c r="A31" s="48">
        <v>20</v>
      </c>
      <c r="B31" s="77"/>
      <c r="C31" s="77"/>
      <c r="D31" s="12">
        <f>15100-177</f>
        <v>14923</v>
      </c>
      <c r="E31" s="48" t="s">
        <v>13</v>
      </c>
      <c r="F31" s="13" t="s">
        <v>11</v>
      </c>
      <c r="G31" s="13" t="s">
        <v>23</v>
      </c>
      <c r="H31" s="14" t="s">
        <v>12</v>
      </c>
      <c r="I31" s="21"/>
    </row>
    <row r="32" spans="1:11" ht="23.25" customHeight="1" x14ac:dyDescent="0.2">
      <c r="A32" s="48">
        <v>21</v>
      </c>
      <c r="B32" s="48">
        <v>31500000</v>
      </c>
      <c r="C32" s="48" t="s">
        <v>49</v>
      </c>
      <c r="D32" s="12">
        <f>2865-145</f>
        <v>2720</v>
      </c>
      <c r="E32" s="48" t="s">
        <v>9</v>
      </c>
      <c r="F32" s="13" t="s">
        <v>86</v>
      </c>
      <c r="G32" s="13" t="s">
        <v>113</v>
      </c>
      <c r="H32" s="27"/>
      <c r="K32" s="9"/>
    </row>
    <row r="33" spans="1:11" ht="23.25" customHeight="1" x14ac:dyDescent="0.2">
      <c r="A33" s="48">
        <v>22</v>
      </c>
      <c r="B33" s="54">
        <v>32200000</v>
      </c>
      <c r="C33" s="54" t="s">
        <v>102</v>
      </c>
      <c r="D33" s="12">
        <f>1437+3463</f>
        <v>4900</v>
      </c>
      <c r="E33" s="48" t="s">
        <v>9</v>
      </c>
      <c r="F33" s="13" t="s">
        <v>87</v>
      </c>
      <c r="G33" s="13" t="s">
        <v>124</v>
      </c>
      <c r="H33" s="14"/>
      <c r="I33" s="31"/>
    </row>
    <row r="34" spans="1:11" ht="23.25" customHeight="1" x14ac:dyDescent="0.2">
      <c r="A34" s="48">
        <v>23</v>
      </c>
      <c r="B34" s="48">
        <v>32400000</v>
      </c>
      <c r="C34" s="48" t="s">
        <v>42</v>
      </c>
      <c r="D34" s="12">
        <f>215-85</f>
        <v>130</v>
      </c>
      <c r="E34" s="48" t="s">
        <v>9</v>
      </c>
      <c r="F34" s="13" t="s">
        <v>11</v>
      </c>
      <c r="G34" s="13" t="s">
        <v>23</v>
      </c>
      <c r="H34" s="14"/>
      <c r="I34" s="31"/>
    </row>
    <row r="35" spans="1:11" ht="23.25" customHeight="1" x14ac:dyDescent="0.2">
      <c r="A35" s="48">
        <v>24</v>
      </c>
      <c r="B35" s="48">
        <v>33100000</v>
      </c>
      <c r="C35" s="48" t="s">
        <v>94</v>
      </c>
      <c r="D35" s="12">
        <v>3150</v>
      </c>
      <c r="E35" s="48" t="s">
        <v>9</v>
      </c>
      <c r="F35" s="13" t="s">
        <v>11</v>
      </c>
      <c r="G35" s="13" t="s">
        <v>23</v>
      </c>
      <c r="H35" s="14"/>
      <c r="I35" s="31"/>
    </row>
    <row r="36" spans="1:11" ht="23.25" customHeight="1" x14ac:dyDescent="0.2">
      <c r="A36" s="48">
        <v>25</v>
      </c>
      <c r="B36" s="48">
        <v>33600000</v>
      </c>
      <c r="C36" s="48" t="s">
        <v>74</v>
      </c>
      <c r="D36" s="34">
        <f>1000-684.25</f>
        <v>315.75</v>
      </c>
      <c r="E36" s="48" t="s">
        <v>13</v>
      </c>
      <c r="F36" s="13" t="s">
        <v>11</v>
      </c>
      <c r="G36" s="13" t="s">
        <v>23</v>
      </c>
      <c r="H36" s="14" t="s">
        <v>12</v>
      </c>
      <c r="I36" s="31"/>
    </row>
    <row r="37" spans="1:11" ht="23.25" customHeight="1" x14ac:dyDescent="0.2">
      <c r="A37" s="48">
        <v>26</v>
      </c>
      <c r="B37" s="48">
        <v>34100000</v>
      </c>
      <c r="C37" s="48" t="s">
        <v>45</v>
      </c>
      <c r="D37" s="45">
        <v>1615543.92</v>
      </c>
      <c r="E37" s="48" t="s">
        <v>13</v>
      </c>
      <c r="F37" s="13" t="s">
        <v>115</v>
      </c>
      <c r="G37" s="13" t="s">
        <v>115</v>
      </c>
      <c r="H37" s="14" t="s">
        <v>12</v>
      </c>
      <c r="I37" s="31"/>
    </row>
    <row r="38" spans="1:11" ht="23.25" customHeight="1" x14ac:dyDescent="0.2">
      <c r="A38" s="48">
        <v>27</v>
      </c>
      <c r="B38" s="76">
        <v>34300000</v>
      </c>
      <c r="C38" s="76" t="s">
        <v>34</v>
      </c>
      <c r="D38" s="34">
        <f>65362.04</f>
        <v>65362.04</v>
      </c>
      <c r="E38" s="48" t="s">
        <v>13</v>
      </c>
      <c r="F38" s="13" t="s">
        <v>11</v>
      </c>
      <c r="G38" s="13" t="s">
        <v>23</v>
      </c>
      <c r="H38" s="14" t="s">
        <v>12</v>
      </c>
      <c r="I38" s="31"/>
    </row>
    <row r="39" spans="1:11" ht="23.25" customHeight="1" x14ac:dyDescent="0.2">
      <c r="A39" s="48">
        <v>28</v>
      </c>
      <c r="B39" s="77"/>
      <c r="C39" s="77"/>
      <c r="D39" s="12">
        <f>16400-1640</f>
        <v>14760</v>
      </c>
      <c r="E39" s="48" t="s">
        <v>24</v>
      </c>
      <c r="F39" s="13" t="s">
        <v>11</v>
      </c>
      <c r="G39" s="13" t="s">
        <v>23</v>
      </c>
      <c r="H39" s="14"/>
      <c r="I39" s="21"/>
    </row>
    <row r="40" spans="1:11" ht="23.25" customHeight="1" x14ac:dyDescent="0.2">
      <c r="A40" s="48">
        <v>29</v>
      </c>
      <c r="B40" s="48">
        <v>35100000</v>
      </c>
      <c r="C40" s="48" t="s">
        <v>65</v>
      </c>
      <c r="D40" s="12">
        <f>5000-310</f>
        <v>4690</v>
      </c>
      <c r="E40" s="48" t="s">
        <v>9</v>
      </c>
      <c r="F40" s="13" t="s">
        <v>11</v>
      </c>
      <c r="G40" s="13" t="s">
        <v>23</v>
      </c>
      <c r="H40" s="48"/>
      <c r="K40" s="9"/>
    </row>
    <row r="41" spans="1:11" ht="23.25" customHeight="1" x14ac:dyDescent="0.2">
      <c r="A41" s="48">
        <v>30</v>
      </c>
      <c r="B41" s="76">
        <v>35300000</v>
      </c>
      <c r="C41" s="76" t="s">
        <v>114</v>
      </c>
      <c r="D41" s="12">
        <v>4900</v>
      </c>
      <c r="E41" s="48" t="s">
        <v>9</v>
      </c>
      <c r="F41" s="13" t="s">
        <v>115</v>
      </c>
      <c r="G41" s="13" t="s">
        <v>115</v>
      </c>
      <c r="H41" s="14"/>
      <c r="K41" s="9"/>
    </row>
    <row r="42" spans="1:11" ht="23.25" customHeight="1" x14ac:dyDescent="0.2">
      <c r="A42" s="48">
        <v>31</v>
      </c>
      <c r="B42" s="77"/>
      <c r="C42" s="77"/>
      <c r="D42" s="18">
        <f>2400-2400</f>
        <v>0</v>
      </c>
      <c r="E42" s="48" t="s">
        <v>9</v>
      </c>
      <c r="F42" s="13" t="s">
        <v>11</v>
      </c>
      <c r="G42" s="13" t="s">
        <v>23</v>
      </c>
      <c r="H42" s="14"/>
      <c r="I42" s="31"/>
    </row>
    <row r="43" spans="1:11" ht="23.25" customHeight="1" x14ac:dyDescent="0.2">
      <c r="A43" s="48">
        <v>32</v>
      </c>
      <c r="B43" s="76">
        <v>39100000</v>
      </c>
      <c r="C43" s="76" t="s">
        <v>10</v>
      </c>
      <c r="D43" s="18">
        <f>4900-700</f>
        <v>4200</v>
      </c>
      <c r="E43" s="48" t="s">
        <v>9</v>
      </c>
      <c r="F43" s="13" t="s">
        <v>11</v>
      </c>
      <c r="G43" s="13" t="s">
        <v>23</v>
      </c>
      <c r="H43" s="14"/>
      <c r="I43" s="21"/>
    </row>
    <row r="44" spans="1:11" ht="23.25" customHeight="1" x14ac:dyDescent="0.2">
      <c r="A44" s="48">
        <v>33</v>
      </c>
      <c r="B44" s="77"/>
      <c r="C44" s="77"/>
      <c r="D44" s="34">
        <f>76684.43-4065.43</f>
        <v>72619</v>
      </c>
      <c r="E44" s="48" t="s">
        <v>13</v>
      </c>
      <c r="F44" s="13" t="s">
        <v>11</v>
      </c>
      <c r="G44" s="13" t="s">
        <v>23</v>
      </c>
      <c r="H44" s="14" t="s">
        <v>12</v>
      </c>
      <c r="I44" s="21"/>
    </row>
    <row r="45" spans="1:11" s="10" customFormat="1" ht="23.25" customHeight="1" x14ac:dyDescent="0.2">
      <c r="A45" s="48">
        <v>34</v>
      </c>
      <c r="B45" s="48">
        <v>39200000</v>
      </c>
      <c r="C45" s="48" t="s">
        <v>67</v>
      </c>
      <c r="D45" s="12">
        <v>3000</v>
      </c>
      <c r="E45" s="48" t="s">
        <v>9</v>
      </c>
      <c r="F45" s="13" t="s">
        <v>11</v>
      </c>
      <c r="G45" s="13" t="s">
        <v>23</v>
      </c>
      <c r="H45" s="48"/>
    </row>
    <row r="46" spans="1:11" ht="23.25" customHeight="1" x14ac:dyDescent="0.2">
      <c r="A46" s="48">
        <v>35</v>
      </c>
      <c r="B46" s="48">
        <v>41100000</v>
      </c>
      <c r="C46" s="48" t="s">
        <v>95</v>
      </c>
      <c r="D46" s="12">
        <f>1993-233</f>
        <v>1760</v>
      </c>
      <c r="E46" s="48" t="s">
        <v>9</v>
      </c>
      <c r="F46" s="13" t="s">
        <v>11</v>
      </c>
      <c r="G46" s="13" t="s">
        <v>23</v>
      </c>
      <c r="H46" s="14"/>
      <c r="I46" s="21"/>
    </row>
    <row r="47" spans="1:11" ht="23.25" customHeight="1" x14ac:dyDescent="0.2">
      <c r="A47" s="48">
        <v>36</v>
      </c>
      <c r="B47" s="89">
        <v>42900000</v>
      </c>
      <c r="C47" s="76" t="s">
        <v>55</v>
      </c>
      <c r="D47" s="12">
        <f>12870-5720</f>
        <v>7150</v>
      </c>
      <c r="E47" s="48" t="s">
        <v>13</v>
      </c>
      <c r="F47" s="13" t="s">
        <v>11</v>
      </c>
      <c r="G47" s="13" t="s">
        <v>23</v>
      </c>
      <c r="H47" s="14" t="s">
        <v>12</v>
      </c>
      <c r="I47" s="21"/>
    </row>
    <row r="48" spans="1:11" ht="23.25" customHeight="1" x14ac:dyDescent="0.2">
      <c r="A48" s="48">
        <v>37</v>
      </c>
      <c r="B48" s="90"/>
      <c r="C48" s="77"/>
      <c r="D48" s="12">
        <f>3300-87</f>
        <v>3213</v>
      </c>
      <c r="E48" s="48" t="s">
        <v>9</v>
      </c>
      <c r="F48" s="13" t="s">
        <v>11</v>
      </c>
      <c r="G48" s="13" t="s">
        <v>23</v>
      </c>
      <c r="H48" s="14"/>
      <c r="I48" s="21"/>
    </row>
    <row r="49" spans="1:9" ht="23.25" customHeight="1" x14ac:dyDescent="0.2">
      <c r="A49" s="48">
        <v>38</v>
      </c>
      <c r="B49" s="48">
        <v>44200000</v>
      </c>
      <c r="C49" s="48" t="s">
        <v>103</v>
      </c>
      <c r="D49" s="18">
        <v>4950</v>
      </c>
      <c r="E49" s="48" t="s">
        <v>9</v>
      </c>
      <c r="F49" s="13" t="s">
        <v>11</v>
      </c>
      <c r="G49" s="13" t="s">
        <v>23</v>
      </c>
      <c r="H49" s="14"/>
      <c r="I49" s="21"/>
    </row>
    <row r="50" spans="1:9" ht="23.25" customHeight="1" x14ac:dyDescent="0.2">
      <c r="A50" s="48">
        <v>39</v>
      </c>
      <c r="B50" s="52">
        <v>44300000</v>
      </c>
      <c r="C50" s="48" t="s">
        <v>77</v>
      </c>
      <c r="D50" s="12">
        <f>5000-2000</f>
        <v>3000</v>
      </c>
      <c r="E50" s="48" t="s">
        <v>24</v>
      </c>
      <c r="F50" s="13" t="s">
        <v>11</v>
      </c>
      <c r="G50" s="13" t="s">
        <v>23</v>
      </c>
      <c r="H50" s="48"/>
      <c r="I50" s="21"/>
    </row>
    <row r="51" spans="1:9" ht="23.25" customHeight="1" x14ac:dyDescent="0.2">
      <c r="A51" s="48">
        <v>40</v>
      </c>
      <c r="B51" s="48">
        <v>44400000</v>
      </c>
      <c r="C51" s="48" t="s">
        <v>41</v>
      </c>
      <c r="D51" s="34">
        <f>4905-153.7</f>
        <v>4751.3</v>
      </c>
      <c r="E51" s="48" t="s">
        <v>24</v>
      </c>
      <c r="F51" s="13" t="s">
        <v>11</v>
      </c>
      <c r="G51" s="13" t="s">
        <v>23</v>
      </c>
      <c r="H51" s="14"/>
      <c r="I51" s="21"/>
    </row>
    <row r="52" spans="1:9" ht="23.25" customHeight="1" x14ac:dyDescent="0.2">
      <c r="A52" s="48">
        <v>41</v>
      </c>
      <c r="B52" s="48">
        <v>44500000</v>
      </c>
      <c r="C52" s="48" t="s">
        <v>125</v>
      </c>
      <c r="D52" s="34">
        <f>274.17+85</f>
        <v>359.17</v>
      </c>
      <c r="E52" s="48" t="s">
        <v>9</v>
      </c>
      <c r="F52" s="13" t="s">
        <v>87</v>
      </c>
      <c r="G52" s="13" t="s">
        <v>124</v>
      </c>
      <c r="H52" s="14"/>
      <c r="I52" s="31"/>
    </row>
    <row r="53" spans="1:9" ht="23.25" customHeight="1" x14ac:dyDescent="0.2">
      <c r="A53" s="48">
        <v>42</v>
      </c>
      <c r="B53" s="48">
        <v>45200000</v>
      </c>
      <c r="C53" s="48" t="s">
        <v>47</v>
      </c>
      <c r="D53" s="18">
        <f>2244464-58227</f>
        <v>2186237</v>
      </c>
      <c r="E53" s="48" t="s">
        <v>24</v>
      </c>
      <c r="F53" s="13" t="s">
        <v>11</v>
      </c>
      <c r="G53" s="13" t="s">
        <v>23</v>
      </c>
      <c r="H53" s="14"/>
      <c r="I53" s="31"/>
    </row>
    <row r="54" spans="1:9" ht="23.25" customHeight="1" x14ac:dyDescent="0.2">
      <c r="A54" s="48">
        <v>43</v>
      </c>
      <c r="B54" s="76">
        <v>45300000</v>
      </c>
      <c r="C54" s="76" t="s">
        <v>79</v>
      </c>
      <c r="D54" s="34">
        <f>967-50.45</f>
        <v>916.55</v>
      </c>
      <c r="E54" s="48" t="s">
        <v>9</v>
      </c>
      <c r="F54" s="13" t="s">
        <v>11</v>
      </c>
      <c r="G54" s="13" t="s">
        <v>23</v>
      </c>
      <c r="H54" s="14"/>
      <c r="I54" s="31"/>
    </row>
    <row r="55" spans="1:9" ht="23.25" customHeight="1" x14ac:dyDescent="0.2">
      <c r="A55" s="48">
        <v>44</v>
      </c>
      <c r="B55" s="77"/>
      <c r="C55" s="77"/>
      <c r="D55" s="45">
        <f>3651-134.05</f>
        <v>3516.95</v>
      </c>
      <c r="E55" s="48" t="s">
        <v>9</v>
      </c>
      <c r="F55" s="13" t="s">
        <v>11</v>
      </c>
      <c r="G55" s="13" t="s">
        <v>23</v>
      </c>
      <c r="H55" s="14"/>
      <c r="I55" s="31"/>
    </row>
    <row r="56" spans="1:9" s="10" customFormat="1" ht="23.25" customHeight="1" x14ac:dyDescent="0.2">
      <c r="A56" s="48">
        <v>45</v>
      </c>
      <c r="B56" s="48">
        <v>45400000</v>
      </c>
      <c r="C56" s="48" t="s">
        <v>80</v>
      </c>
      <c r="D56" s="45">
        <f>495307.13-169214.87</f>
        <v>326092.26</v>
      </c>
      <c r="E56" s="48" t="s">
        <v>24</v>
      </c>
      <c r="F56" s="13" t="s">
        <v>11</v>
      </c>
      <c r="G56" s="13" t="s">
        <v>23</v>
      </c>
      <c r="H56" s="48"/>
    </row>
    <row r="57" spans="1:9" ht="23.25" customHeight="1" x14ac:dyDescent="0.2">
      <c r="A57" s="48">
        <v>46</v>
      </c>
      <c r="B57" s="48">
        <v>45500000</v>
      </c>
      <c r="C57" s="48" t="s">
        <v>126</v>
      </c>
      <c r="D57" s="12">
        <v>4990</v>
      </c>
      <c r="E57" s="48" t="s">
        <v>9</v>
      </c>
      <c r="F57" s="13" t="s">
        <v>87</v>
      </c>
      <c r="G57" s="13" t="s">
        <v>124</v>
      </c>
      <c r="H57" s="14"/>
    </row>
    <row r="58" spans="1:9" ht="23.25" customHeight="1" x14ac:dyDescent="0.2">
      <c r="A58" s="48">
        <v>47</v>
      </c>
      <c r="B58" s="48">
        <v>48200000</v>
      </c>
      <c r="C58" s="48" t="s">
        <v>88</v>
      </c>
      <c r="D58" s="12">
        <f>2000-300</f>
        <v>1700</v>
      </c>
      <c r="E58" s="48" t="s">
        <v>9</v>
      </c>
      <c r="F58" s="13" t="s">
        <v>11</v>
      </c>
      <c r="G58" s="13" t="s">
        <v>23</v>
      </c>
      <c r="H58" s="14"/>
    </row>
    <row r="59" spans="1:9" ht="23.25" customHeight="1" x14ac:dyDescent="0.2">
      <c r="A59" s="48">
        <v>48</v>
      </c>
      <c r="B59" s="53">
        <v>48600000</v>
      </c>
      <c r="C59" s="53" t="s">
        <v>89</v>
      </c>
      <c r="D59" s="12">
        <f>375+3375</f>
        <v>3750</v>
      </c>
      <c r="E59" s="48" t="s">
        <v>9</v>
      </c>
      <c r="F59" s="13" t="s">
        <v>11</v>
      </c>
      <c r="G59" s="13" t="s">
        <v>23</v>
      </c>
      <c r="H59" s="14" t="s">
        <v>16</v>
      </c>
      <c r="I59" s="37"/>
    </row>
    <row r="60" spans="1:9" ht="23.25" customHeight="1" x14ac:dyDescent="0.2">
      <c r="A60" s="48">
        <v>49</v>
      </c>
      <c r="B60" s="76">
        <v>50100000</v>
      </c>
      <c r="C60" s="76" t="s">
        <v>21</v>
      </c>
      <c r="D60" s="12">
        <f>30534-3000</f>
        <v>27534</v>
      </c>
      <c r="E60" s="48" t="s">
        <v>9</v>
      </c>
      <c r="F60" s="13" t="s">
        <v>11</v>
      </c>
      <c r="G60" s="13" t="s">
        <v>23</v>
      </c>
      <c r="H60" s="14" t="s">
        <v>50</v>
      </c>
      <c r="I60" s="37"/>
    </row>
    <row r="61" spans="1:9" ht="23.25" customHeight="1" x14ac:dyDescent="0.2">
      <c r="A61" s="48">
        <v>50</v>
      </c>
      <c r="B61" s="88"/>
      <c r="C61" s="88"/>
      <c r="D61" s="12">
        <f>7500-1000</f>
        <v>6500</v>
      </c>
      <c r="E61" s="48" t="s">
        <v>13</v>
      </c>
      <c r="F61" s="13" t="s">
        <v>86</v>
      </c>
      <c r="G61" s="13" t="s">
        <v>113</v>
      </c>
      <c r="H61" s="14" t="s">
        <v>12</v>
      </c>
      <c r="I61" s="37"/>
    </row>
    <row r="62" spans="1:9" ht="23.25" customHeight="1" x14ac:dyDescent="0.2">
      <c r="A62" s="48">
        <v>51</v>
      </c>
      <c r="B62" s="88"/>
      <c r="C62" s="88"/>
      <c r="D62" s="12">
        <f>425800-9800</f>
        <v>416000</v>
      </c>
      <c r="E62" s="48" t="s">
        <v>24</v>
      </c>
      <c r="F62" s="13" t="s">
        <v>11</v>
      </c>
      <c r="G62" s="13" t="s">
        <v>23</v>
      </c>
      <c r="H62" s="14"/>
      <c r="I62" s="37"/>
    </row>
    <row r="63" spans="1:9" ht="23.25" customHeight="1" x14ac:dyDescent="0.2">
      <c r="A63" s="48">
        <v>52</v>
      </c>
      <c r="B63" s="88"/>
      <c r="C63" s="88"/>
      <c r="D63" s="18">
        <f>1437+13194</f>
        <v>14631</v>
      </c>
      <c r="E63" s="48" t="s">
        <v>24</v>
      </c>
      <c r="F63" s="13" t="s">
        <v>87</v>
      </c>
      <c r="G63" s="13" t="s">
        <v>124</v>
      </c>
      <c r="H63" s="14"/>
    </row>
    <row r="64" spans="1:9" ht="23.25" customHeight="1" x14ac:dyDescent="0.2">
      <c r="A64" s="48">
        <v>53</v>
      </c>
      <c r="B64" s="88"/>
      <c r="C64" s="88"/>
      <c r="D64" s="12">
        <f>20888-14000</f>
        <v>6888</v>
      </c>
      <c r="E64" s="48" t="s">
        <v>24</v>
      </c>
      <c r="F64" s="13" t="s">
        <v>11</v>
      </c>
      <c r="G64" s="13" t="s">
        <v>23</v>
      </c>
      <c r="H64" s="14"/>
    </row>
    <row r="65" spans="1:9" ht="23.25" customHeight="1" x14ac:dyDescent="0.2">
      <c r="A65" s="48">
        <v>54</v>
      </c>
      <c r="B65" s="77"/>
      <c r="C65" s="77"/>
      <c r="D65" s="18">
        <f>2850+3800</f>
        <v>6650</v>
      </c>
      <c r="E65" s="48" t="s">
        <v>24</v>
      </c>
      <c r="F65" s="13" t="s">
        <v>115</v>
      </c>
      <c r="G65" s="13" t="s">
        <v>115</v>
      </c>
      <c r="H65" s="14"/>
    </row>
    <row r="66" spans="1:9" ht="23.25" customHeight="1" x14ac:dyDescent="0.2">
      <c r="A66" s="48">
        <v>55</v>
      </c>
      <c r="B66" s="48">
        <v>50300000</v>
      </c>
      <c r="C66" s="48" t="s">
        <v>40</v>
      </c>
      <c r="D66" s="12">
        <f>10000-2960</f>
        <v>7040</v>
      </c>
      <c r="E66" s="48" t="s">
        <v>24</v>
      </c>
      <c r="F66" s="13" t="s">
        <v>11</v>
      </c>
      <c r="G66" s="13" t="s">
        <v>23</v>
      </c>
      <c r="H66" s="14"/>
    </row>
    <row r="67" spans="1:9" s="30" customFormat="1" ht="23.25" customHeight="1" x14ac:dyDescent="0.2">
      <c r="A67" s="48">
        <v>56</v>
      </c>
      <c r="B67" s="48">
        <v>50700000</v>
      </c>
      <c r="C67" s="48" t="s">
        <v>43</v>
      </c>
      <c r="D67" s="12">
        <f>11980+940</f>
        <v>12920</v>
      </c>
      <c r="E67" s="48" t="s">
        <v>24</v>
      </c>
      <c r="F67" s="13" t="s">
        <v>11</v>
      </c>
      <c r="G67" s="13" t="s">
        <v>23</v>
      </c>
      <c r="H67" s="14"/>
    </row>
    <row r="68" spans="1:9" s="30" customFormat="1" ht="23.25" customHeight="1" x14ac:dyDescent="0.2">
      <c r="A68" s="48">
        <v>57</v>
      </c>
      <c r="B68" s="48">
        <v>50800000</v>
      </c>
      <c r="C68" s="48" t="s">
        <v>127</v>
      </c>
      <c r="D68" s="12">
        <v>500</v>
      </c>
      <c r="E68" s="48" t="s">
        <v>9</v>
      </c>
      <c r="F68" s="13" t="s">
        <v>86</v>
      </c>
      <c r="G68" s="13" t="s">
        <v>113</v>
      </c>
      <c r="H68" s="14"/>
    </row>
    <row r="69" spans="1:9" ht="23.25" customHeight="1" x14ac:dyDescent="0.2">
      <c r="A69" s="48">
        <v>58</v>
      </c>
      <c r="B69" s="48">
        <v>55300000</v>
      </c>
      <c r="C69" s="48" t="s">
        <v>128</v>
      </c>
      <c r="D69" s="12">
        <v>4938</v>
      </c>
      <c r="E69" s="48" t="s">
        <v>9</v>
      </c>
      <c r="F69" s="13" t="s">
        <v>115</v>
      </c>
      <c r="G69" s="13" t="s">
        <v>115</v>
      </c>
      <c r="H69" s="14"/>
      <c r="I69" s="31"/>
    </row>
    <row r="70" spans="1:9" ht="23.25" customHeight="1" x14ac:dyDescent="0.2">
      <c r="A70" s="48">
        <v>59</v>
      </c>
      <c r="B70" s="48">
        <v>63100000</v>
      </c>
      <c r="C70" s="48" t="s">
        <v>44</v>
      </c>
      <c r="D70" s="12">
        <f>14000+1000</f>
        <v>15000</v>
      </c>
      <c r="E70" s="48" t="s">
        <v>24</v>
      </c>
      <c r="F70" s="13" t="s">
        <v>11</v>
      </c>
      <c r="G70" s="13" t="s">
        <v>23</v>
      </c>
      <c r="H70" s="14"/>
      <c r="I70" s="31"/>
    </row>
    <row r="71" spans="1:9" ht="23.25" customHeight="1" x14ac:dyDescent="0.2">
      <c r="A71" s="48">
        <v>60</v>
      </c>
      <c r="B71" s="48">
        <v>63700000</v>
      </c>
      <c r="C71" s="48" t="s">
        <v>18</v>
      </c>
      <c r="D71" s="12">
        <f>19200+800</f>
        <v>20000</v>
      </c>
      <c r="E71" s="48" t="s">
        <v>24</v>
      </c>
      <c r="F71" s="13" t="s">
        <v>11</v>
      </c>
      <c r="G71" s="13" t="s">
        <v>23</v>
      </c>
      <c r="H71" s="14"/>
      <c r="I71" s="31"/>
    </row>
    <row r="72" spans="1:9" ht="23.25" customHeight="1" x14ac:dyDescent="0.2">
      <c r="A72" s="48">
        <v>61</v>
      </c>
      <c r="B72" s="48">
        <v>64100000</v>
      </c>
      <c r="C72" s="48" t="s">
        <v>104</v>
      </c>
      <c r="D72" s="34">
        <f>16202+611.13</f>
        <v>16813.13</v>
      </c>
      <c r="E72" s="48" t="s">
        <v>24</v>
      </c>
      <c r="F72" s="13" t="s">
        <v>11</v>
      </c>
      <c r="G72" s="13" t="s">
        <v>23</v>
      </c>
      <c r="H72" s="14"/>
      <c r="I72" s="21"/>
    </row>
    <row r="73" spans="1:9" ht="23.25" customHeight="1" x14ac:dyDescent="0.2">
      <c r="A73" s="48">
        <v>62</v>
      </c>
      <c r="B73" s="76">
        <v>64200000</v>
      </c>
      <c r="C73" s="76" t="s">
        <v>37</v>
      </c>
      <c r="D73" s="12">
        <v>50000</v>
      </c>
      <c r="E73" s="48" t="s">
        <v>13</v>
      </c>
      <c r="F73" s="13" t="s">
        <v>11</v>
      </c>
      <c r="G73" s="13" t="s">
        <v>23</v>
      </c>
      <c r="H73" s="14" t="s">
        <v>12</v>
      </c>
    </row>
    <row r="74" spans="1:9" ht="23.25" customHeight="1" x14ac:dyDescent="0.2">
      <c r="A74" s="48">
        <v>63</v>
      </c>
      <c r="B74" s="88"/>
      <c r="C74" s="88"/>
      <c r="D74" s="12">
        <v>1000</v>
      </c>
      <c r="E74" s="48" t="s">
        <v>9</v>
      </c>
      <c r="F74" s="13" t="s">
        <v>11</v>
      </c>
      <c r="G74" s="13" t="s">
        <v>23</v>
      </c>
      <c r="H74" s="14" t="s">
        <v>17</v>
      </c>
    </row>
    <row r="75" spans="1:9" ht="23.25" customHeight="1" x14ac:dyDescent="0.2">
      <c r="A75" s="48">
        <v>64</v>
      </c>
      <c r="B75" s="88"/>
      <c r="C75" s="88"/>
      <c r="D75" s="34">
        <f>1500-257.24</f>
        <v>1242.76</v>
      </c>
      <c r="E75" s="48" t="s">
        <v>9</v>
      </c>
      <c r="F75" s="13" t="s">
        <v>11</v>
      </c>
      <c r="G75" s="13" t="s">
        <v>23</v>
      </c>
      <c r="H75" s="14"/>
    </row>
    <row r="76" spans="1:9" ht="23.25" customHeight="1" x14ac:dyDescent="0.2">
      <c r="A76" s="48">
        <v>65</v>
      </c>
      <c r="B76" s="77"/>
      <c r="C76" s="77"/>
      <c r="D76" s="34">
        <f>20000-0.38</f>
        <v>19999.62</v>
      </c>
      <c r="E76" s="48" t="s">
        <v>9</v>
      </c>
      <c r="F76" s="13" t="s">
        <v>11</v>
      </c>
      <c r="G76" s="13" t="s">
        <v>23</v>
      </c>
      <c r="H76" s="14" t="s">
        <v>97</v>
      </c>
    </row>
    <row r="77" spans="1:9" ht="23.25" customHeight="1" x14ac:dyDescent="0.2">
      <c r="A77" s="48">
        <v>66</v>
      </c>
      <c r="B77" s="76">
        <v>66500000</v>
      </c>
      <c r="C77" s="76" t="s">
        <v>31</v>
      </c>
      <c r="D77" s="60">
        <f>85854.82+9588.94</f>
        <v>95443.760000000009</v>
      </c>
      <c r="E77" s="48" t="s">
        <v>13</v>
      </c>
      <c r="F77" s="13" t="s">
        <v>11</v>
      </c>
      <c r="G77" s="13" t="s">
        <v>23</v>
      </c>
      <c r="H77" s="14" t="s">
        <v>12</v>
      </c>
      <c r="I77" s="31"/>
    </row>
    <row r="78" spans="1:9" ht="23.25" customHeight="1" x14ac:dyDescent="0.2">
      <c r="A78" s="48">
        <v>67</v>
      </c>
      <c r="B78" s="77"/>
      <c r="C78" s="77"/>
      <c r="D78" s="60">
        <f>134556.24-17100</f>
        <v>117456.23999999999</v>
      </c>
      <c r="E78" s="48" t="s">
        <v>24</v>
      </c>
      <c r="F78" s="13" t="s">
        <v>11</v>
      </c>
      <c r="G78" s="13" t="s">
        <v>23</v>
      </c>
      <c r="H78" s="14" t="s">
        <v>122</v>
      </c>
      <c r="I78" s="31"/>
    </row>
    <row r="79" spans="1:9" ht="23.25" customHeight="1" x14ac:dyDescent="0.2">
      <c r="A79" s="48">
        <v>68</v>
      </c>
      <c r="B79" s="48">
        <v>71300000</v>
      </c>
      <c r="C79" s="48" t="s">
        <v>129</v>
      </c>
      <c r="D79" s="34">
        <f>800-34.7</f>
        <v>765.3</v>
      </c>
      <c r="E79" s="48" t="s">
        <v>9</v>
      </c>
      <c r="F79" s="13" t="s">
        <v>87</v>
      </c>
      <c r="G79" s="13" t="s">
        <v>124</v>
      </c>
      <c r="H79" s="14"/>
      <c r="I79" s="31"/>
    </row>
    <row r="80" spans="1:9" ht="23.25" customHeight="1" x14ac:dyDescent="0.2">
      <c r="A80" s="48">
        <v>69</v>
      </c>
      <c r="B80" s="91">
        <v>72200000</v>
      </c>
      <c r="C80" s="76" t="s">
        <v>22</v>
      </c>
      <c r="D80" s="12">
        <f>122000+17200</f>
        <v>139200</v>
      </c>
      <c r="E80" s="48" t="s">
        <v>9</v>
      </c>
      <c r="F80" s="13" t="s">
        <v>11</v>
      </c>
      <c r="G80" s="13" t="s">
        <v>23</v>
      </c>
      <c r="H80" s="14" t="s">
        <v>16</v>
      </c>
      <c r="I80" s="31"/>
    </row>
    <row r="81" spans="1:11" ht="23.25" customHeight="1" x14ac:dyDescent="0.2">
      <c r="A81" s="48">
        <v>70</v>
      </c>
      <c r="B81" s="92"/>
      <c r="C81" s="77"/>
      <c r="D81" s="12">
        <f>8000-3000</f>
        <v>5000</v>
      </c>
      <c r="E81" s="48" t="s">
        <v>9</v>
      </c>
      <c r="F81" s="13" t="s">
        <v>11</v>
      </c>
      <c r="G81" s="13" t="s">
        <v>23</v>
      </c>
      <c r="H81" s="14" t="s">
        <v>15</v>
      </c>
    </row>
    <row r="82" spans="1:11" ht="23.25" customHeight="1" x14ac:dyDescent="0.2">
      <c r="A82" s="48">
        <v>71</v>
      </c>
      <c r="B82" s="48">
        <v>72400000</v>
      </c>
      <c r="C82" s="48" t="s">
        <v>28</v>
      </c>
      <c r="D82" s="12">
        <f>257280-41430</f>
        <v>215850</v>
      </c>
      <c r="E82" s="48" t="s">
        <v>30</v>
      </c>
      <c r="F82" s="13" t="s">
        <v>11</v>
      </c>
      <c r="G82" s="13" t="s">
        <v>23</v>
      </c>
      <c r="H82" s="14" t="s">
        <v>15</v>
      </c>
    </row>
    <row r="83" spans="1:11" ht="23.25" customHeight="1" x14ac:dyDescent="0.2">
      <c r="A83" s="48">
        <v>72</v>
      </c>
      <c r="B83" s="48">
        <v>75100000</v>
      </c>
      <c r="C83" s="48" t="s">
        <v>48</v>
      </c>
      <c r="D83" s="12">
        <f>3000-500</f>
        <v>2500</v>
      </c>
      <c r="E83" s="48" t="s">
        <v>9</v>
      </c>
      <c r="F83" s="13" t="s">
        <v>11</v>
      </c>
      <c r="G83" s="13" t="s">
        <v>23</v>
      </c>
      <c r="H83" s="14" t="s">
        <v>16</v>
      </c>
    </row>
    <row r="84" spans="1:11" ht="23.25" customHeight="1" x14ac:dyDescent="0.2">
      <c r="A84" s="48">
        <v>73</v>
      </c>
      <c r="B84" s="48">
        <v>77200000</v>
      </c>
      <c r="C84" s="48" t="s">
        <v>25</v>
      </c>
      <c r="D84" s="12">
        <f>404060-49000</f>
        <v>355060</v>
      </c>
      <c r="E84" s="48" t="s">
        <v>24</v>
      </c>
      <c r="F84" s="13" t="s">
        <v>11</v>
      </c>
      <c r="G84" s="13" t="s">
        <v>23</v>
      </c>
      <c r="H84" s="14"/>
    </row>
    <row r="85" spans="1:11" ht="23.25" customHeight="1" x14ac:dyDescent="0.2">
      <c r="A85" s="48">
        <v>74</v>
      </c>
      <c r="B85" s="48">
        <v>79400000</v>
      </c>
      <c r="C85" s="48" t="s">
        <v>130</v>
      </c>
      <c r="D85" s="12">
        <f>4400+550</f>
        <v>4950</v>
      </c>
      <c r="E85" s="69" t="s">
        <v>9</v>
      </c>
      <c r="F85" s="13" t="s">
        <v>11</v>
      </c>
      <c r="G85" s="13" t="s">
        <v>23</v>
      </c>
      <c r="H85" s="14"/>
    </row>
    <row r="86" spans="1:11" ht="23.25" customHeight="1" x14ac:dyDescent="0.2">
      <c r="A86" s="48">
        <v>75</v>
      </c>
      <c r="B86" s="48">
        <v>79700000</v>
      </c>
      <c r="C86" s="48" t="s">
        <v>26</v>
      </c>
      <c r="D86" s="12">
        <f>141890-715</f>
        <v>141175</v>
      </c>
      <c r="E86" s="69" t="s">
        <v>9</v>
      </c>
      <c r="F86" s="13" t="s">
        <v>11</v>
      </c>
      <c r="G86" s="13" t="s">
        <v>23</v>
      </c>
      <c r="H86" s="14" t="s">
        <v>17</v>
      </c>
    </row>
    <row r="87" spans="1:11" ht="23.25" customHeight="1" x14ac:dyDescent="0.2">
      <c r="A87" s="48">
        <v>76</v>
      </c>
      <c r="B87" s="48">
        <v>79800000</v>
      </c>
      <c r="C87" s="48" t="s">
        <v>56</v>
      </c>
      <c r="D87" s="12">
        <f>992-801.6</f>
        <v>190.39999999999998</v>
      </c>
      <c r="E87" s="69" t="s">
        <v>9</v>
      </c>
      <c r="F87" s="13" t="s">
        <v>11</v>
      </c>
      <c r="G87" s="13" t="s">
        <v>23</v>
      </c>
      <c r="H87" s="14"/>
    </row>
    <row r="88" spans="1:11" ht="23.25" customHeight="1" x14ac:dyDescent="0.2">
      <c r="A88" s="48">
        <v>77</v>
      </c>
      <c r="B88" s="48">
        <v>79900000</v>
      </c>
      <c r="C88" s="48" t="s">
        <v>82</v>
      </c>
      <c r="D88" s="12">
        <v>4990</v>
      </c>
      <c r="E88" s="69" t="s">
        <v>9</v>
      </c>
      <c r="F88" s="13" t="s">
        <v>115</v>
      </c>
      <c r="G88" s="13" t="s">
        <v>115</v>
      </c>
      <c r="H88" s="14"/>
      <c r="I88" s="21"/>
    </row>
    <row r="89" spans="1:11" ht="23.25" customHeight="1" x14ac:dyDescent="0.2">
      <c r="A89" s="48">
        <v>78</v>
      </c>
      <c r="B89" s="48">
        <v>90900000</v>
      </c>
      <c r="C89" s="48" t="s">
        <v>68</v>
      </c>
      <c r="D89" s="12">
        <f>74700+2988</f>
        <v>77688</v>
      </c>
      <c r="E89" s="48" t="s">
        <v>24</v>
      </c>
      <c r="F89" s="13" t="s">
        <v>11</v>
      </c>
      <c r="G89" s="13" t="s">
        <v>23</v>
      </c>
      <c r="H89" s="14"/>
      <c r="K89" s="9"/>
    </row>
    <row r="90" spans="1:11" ht="23.25" customHeight="1" x14ac:dyDescent="0.2">
      <c r="A90" s="48">
        <v>79</v>
      </c>
      <c r="B90" s="48">
        <v>92200000</v>
      </c>
      <c r="C90" s="48" t="s">
        <v>29</v>
      </c>
      <c r="D90" s="12">
        <f>3000+8</f>
        <v>3008</v>
      </c>
      <c r="E90" s="48" t="s">
        <v>9</v>
      </c>
      <c r="F90" s="13" t="s">
        <v>11</v>
      </c>
      <c r="G90" s="13" t="s">
        <v>23</v>
      </c>
      <c r="H90" s="14"/>
    </row>
    <row r="91" spans="1:11" ht="23.25" customHeight="1" x14ac:dyDescent="0.2">
      <c r="A91" s="48">
        <v>80</v>
      </c>
      <c r="B91" s="48">
        <v>92400000</v>
      </c>
      <c r="C91" s="48" t="s">
        <v>51</v>
      </c>
      <c r="D91" s="12">
        <v>3600</v>
      </c>
      <c r="E91" s="48" t="s">
        <v>9</v>
      </c>
      <c r="F91" s="13" t="s">
        <v>11</v>
      </c>
      <c r="G91" s="13" t="s">
        <v>23</v>
      </c>
      <c r="H91" s="14"/>
    </row>
    <row r="92" spans="1:11" ht="23.25" customHeight="1" x14ac:dyDescent="0.2">
      <c r="A92" s="48">
        <v>81</v>
      </c>
      <c r="B92" s="48">
        <v>92500000</v>
      </c>
      <c r="C92" s="48" t="s">
        <v>35</v>
      </c>
      <c r="D92" s="12">
        <f>42000-274</f>
        <v>41726</v>
      </c>
      <c r="E92" s="48" t="s">
        <v>9</v>
      </c>
      <c r="F92" s="13" t="s">
        <v>11</v>
      </c>
      <c r="G92" s="13" t="s">
        <v>23</v>
      </c>
      <c r="H92" s="14" t="s">
        <v>16</v>
      </c>
    </row>
    <row r="93" spans="1:11" x14ac:dyDescent="0.2">
      <c r="C93" s="51"/>
      <c r="D93" s="41"/>
      <c r="E93" s="46"/>
      <c r="F93" s="46"/>
      <c r="G93" s="46"/>
    </row>
    <row r="94" spans="1:11" x14ac:dyDescent="0.2">
      <c r="A94" s="28"/>
      <c r="B94" s="28"/>
    </row>
    <row r="95" spans="1:11" x14ac:dyDescent="0.2">
      <c r="A95" s="28"/>
      <c r="B95" s="28"/>
      <c r="C95" s="22"/>
    </row>
    <row r="96" spans="1:11" x14ac:dyDescent="0.2">
      <c r="A96" s="28"/>
      <c r="B96" s="28"/>
    </row>
    <row r="97" spans="1:8" x14ac:dyDescent="0.2">
      <c r="A97" s="28"/>
      <c r="B97" s="28"/>
      <c r="C97" s="7"/>
    </row>
    <row r="104" spans="1:8" x14ac:dyDescent="0.2">
      <c r="A104" s="28"/>
      <c r="B104" s="28"/>
      <c r="C104" s="28"/>
      <c r="D104" s="28"/>
      <c r="E104" s="28"/>
      <c r="F104" s="28"/>
      <c r="G104" s="28"/>
      <c r="H104" s="28"/>
    </row>
  </sheetData>
  <sheetProtection password="CC5B" sheet="1" objects="1" scenarios="1"/>
  <mergeCells count="37">
    <mergeCell ref="B73:B76"/>
    <mergeCell ref="C73:C76"/>
    <mergeCell ref="B77:B78"/>
    <mergeCell ref="C77:C78"/>
    <mergeCell ref="B80:B81"/>
    <mergeCell ref="C80:C81"/>
    <mergeCell ref="B47:B48"/>
    <mergeCell ref="C47:C48"/>
    <mergeCell ref="B54:B55"/>
    <mergeCell ref="C54:C55"/>
    <mergeCell ref="B60:B65"/>
    <mergeCell ref="C60:C65"/>
    <mergeCell ref="B38:B39"/>
    <mergeCell ref="C38:C39"/>
    <mergeCell ref="B41:B42"/>
    <mergeCell ref="C41:C42"/>
    <mergeCell ref="B43:B44"/>
    <mergeCell ref="C43:C44"/>
    <mergeCell ref="B24:B25"/>
    <mergeCell ref="C24:C25"/>
    <mergeCell ref="B26:B28"/>
    <mergeCell ref="C26:C28"/>
    <mergeCell ref="B30:B31"/>
    <mergeCell ref="C30:C31"/>
    <mergeCell ref="A4:E5"/>
    <mergeCell ref="C3:G3"/>
    <mergeCell ref="F4:H4"/>
    <mergeCell ref="F5:H5"/>
    <mergeCell ref="A6:E6"/>
    <mergeCell ref="F6:H7"/>
    <mergeCell ref="A7:E7"/>
    <mergeCell ref="A8:H8"/>
    <mergeCell ref="A9:H9"/>
    <mergeCell ref="B18:B19"/>
    <mergeCell ref="C18:C19"/>
    <mergeCell ref="B21:B22"/>
    <mergeCell ref="C21:C22"/>
  </mergeCells>
  <phoneticPr fontId="1" type="noConversion"/>
  <pageMargins left="0.25" right="0" top="0.5" bottom="0" header="1.3" footer="1.3"/>
  <pageSetup paperSize="9" scale="58" orientation="portrait" r:id="rId1"/>
  <headerFooter alignWithMargins="0"/>
  <rowBreaks count="1" manualBreakCount="1">
    <brk id="6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view="pageBreakPreview" topLeftCell="A70" zoomScale="130" zoomScaleNormal="130" zoomScaleSheetLayoutView="130" workbookViewId="0">
      <selection activeCell="F76" sqref="F76"/>
    </sheetView>
  </sheetViews>
  <sheetFormatPr defaultRowHeight="13.5" x14ac:dyDescent="0.2"/>
  <cols>
    <col min="1" max="1" width="3.85546875" style="49" customWidth="1"/>
    <col min="2" max="2" width="10" style="49" customWidth="1"/>
    <col min="3" max="3" width="53.7109375" style="21" customWidth="1"/>
    <col min="4" max="4" width="11.7109375" style="1" customWidth="1"/>
    <col min="5" max="5" width="10.42578125" style="21" customWidth="1"/>
    <col min="6" max="6" width="12.5703125" style="21" customWidth="1"/>
    <col min="7" max="7" width="16.42578125" style="21" customWidth="1"/>
    <col min="8" max="8" width="41.7109375" style="21" customWidth="1"/>
    <col min="9" max="9" width="21.42578125" style="31" customWidth="1"/>
    <col min="10" max="16384" width="9.140625" style="21"/>
  </cols>
  <sheetData>
    <row r="1" spans="1:10" ht="18" customHeight="1" x14ac:dyDescent="0.2"/>
    <row r="2" spans="1:10" s="9" customFormat="1" ht="23.25" customHeight="1" x14ac:dyDescent="0.2">
      <c r="A2" s="21"/>
      <c r="B2" s="21"/>
      <c r="C2" s="21"/>
      <c r="D2" s="1"/>
      <c r="E2" s="21"/>
      <c r="F2" s="21"/>
      <c r="G2" s="21"/>
      <c r="H2" s="16" t="s">
        <v>131</v>
      </c>
      <c r="I2" s="31"/>
    </row>
    <row r="3" spans="1:10" s="9" customFormat="1" ht="20.25" customHeight="1" x14ac:dyDescent="0.2">
      <c r="A3" s="21"/>
      <c r="B3" s="21"/>
      <c r="C3" s="96" t="s">
        <v>99</v>
      </c>
      <c r="D3" s="96"/>
      <c r="E3" s="96"/>
      <c r="F3" s="96"/>
      <c r="G3" s="96"/>
      <c r="H3" s="21"/>
      <c r="I3" s="32"/>
      <c r="J3" s="22"/>
    </row>
    <row r="4" spans="1:10" s="9" customFormat="1" ht="26.25" customHeight="1" x14ac:dyDescent="0.2">
      <c r="A4" s="70" t="s">
        <v>132</v>
      </c>
      <c r="B4" s="71"/>
      <c r="C4" s="71"/>
      <c r="D4" s="71"/>
      <c r="E4" s="72"/>
      <c r="F4" s="70" t="s">
        <v>7</v>
      </c>
      <c r="G4" s="71"/>
      <c r="H4" s="72"/>
      <c r="I4" s="32"/>
      <c r="J4" s="33"/>
    </row>
    <row r="5" spans="1:10" s="9" customFormat="1" ht="18.75" customHeight="1" x14ac:dyDescent="0.2">
      <c r="A5" s="78"/>
      <c r="B5" s="79"/>
      <c r="C5" s="79"/>
      <c r="D5" s="79"/>
      <c r="E5" s="80"/>
      <c r="F5" s="85">
        <v>204578581</v>
      </c>
      <c r="G5" s="86"/>
      <c r="H5" s="87"/>
      <c r="I5" s="31"/>
    </row>
    <row r="6" spans="1:10" s="9" customFormat="1" ht="22.5" customHeight="1" x14ac:dyDescent="0.2">
      <c r="A6" s="70" t="s">
        <v>8</v>
      </c>
      <c r="B6" s="71"/>
      <c r="C6" s="71"/>
      <c r="D6" s="71"/>
      <c r="E6" s="72"/>
      <c r="F6" s="70" t="s">
        <v>133</v>
      </c>
      <c r="G6" s="97"/>
      <c r="H6" s="98"/>
      <c r="I6" s="31"/>
    </row>
    <row r="7" spans="1:10" s="9" customFormat="1" ht="21.75" customHeight="1" x14ac:dyDescent="0.2">
      <c r="A7" s="85" t="s">
        <v>19</v>
      </c>
      <c r="B7" s="86"/>
      <c r="C7" s="86"/>
      <c r="D7" s="86"/>
      <c r="E7" s="87"/>
      <c r="F7" s="99"/>
      <c r="G7" s="100"/>
      <c r="H7" s="101"/>
      <c r="I7" s="31"/>
    </row>
    <row r="8" spans="1:10" s="9" customFormat="1" ht="21" customHeight="1" x14ac:dyDescent="0.2">
      <c r="A8" s="70" t="s">
        <v>14</v>
      </c>
      <c r="B8" s="71"/>
      <c r="C8" s="71"/>
      <c r="D8" s="71"/>
      <c r="E8" s="71"/>
      <c r="F8" s="71"/>
      <c r="G8" s="71"/>
      <c r="H8" s="72"/>
      <c r="I8" s="31"/>
    </row>
    <row r="9" spans="1:10" s="30" customFormat="1" ht="15.75" customHeight="1" x14ac:dyDescent="0.2">
      <c r="A9" s="94">
        <f>16243945-437373.1</f>
        <v>15806571.9</v>
      </c>
      <c r="B9" s="95"/>
      <c r="C9" s="95"/>
      <c r="D9" s="95"/>
      <c r="E9" s="95"/>
      <c r="F9" s="95"/>
      <c r="G9" s="95"/>
      <c r="H9" s="95"/>
      <c r="I9" s="31"/>
    </row>
    <row r="10" spans="1:10" s="30" customFormat="1" ht="58.5" customHeight="1" x14ac:dyDescent="0.2">
      <c r="A10" s="48" t="s">
        <v>1</v>
      </c>
      <c r="B10" s="48" t="s">
        <v>2</v>
      </c>
      <c r="C10" s="48" t="s">
        <v>3</v>
      </c>
      <c r="D10" s="17" t="s">
        <v>36</v>
      </c>
      <c r="E10" s="48" t="s">
        <v>4</v>
      </c>
      <c r="F10" s="48" t="s">
        <v>5</v>
      </c>
      <c r="G10" s="48" t="s">
        <v>6</v>
      </c>
      <c r="H10" s="48" t="s">
        <v>0</v>
      </c>
      <c r="I10" s="31"/>
    </row>
    <row r="11" spans="1:10" s="30" customFormat="1" ht="15" customHeight="1" x14ac:dyDescent="0.2">
      <c r="A11" s="48">
        <v>1</v>
      </c>
      <c r="B11" s="48">
        <v>2</v>
      </c>
      <c r="C11" s="48">
        <v>3</v>
      </c>
      <c r="D11" s="12">
        <v>4</v>
      </c>
      <c r="E11" s="48">
        <v>5</v>
      </c>
      <c r="F11" s="48">
        <v>6</v>
      </c>
      <c r="G11" s="48">
        <v>7</v>
      </c>
      <c r="H11" s="48">
        <v>8</v>
      </c>
      <c r="I11" s="31"/>
    </row>
    <row r="12" spans="1:10" ht="19.5" customHeight="1" x14ac:dyDescent="0.2">
      <c r="A12" s="48">
        <v>1</v>
      </c>
      <c r="B12" s="13" t="s">
        <v>32</v>
      </c>
      <c r="C12" s="48" t="s">
        <v>33</v>
      </c>
      <c r="D12" s="34">
        <f>871100+52663.62</f>
        <v>923763.62</v>
      </c>
      <c r="E12" s="48" t="s">
        <v>13</v>
      </c>
      <c r="F12" s="13" t="s">
        <v>11</v>
      </c>
      <c r="G12" s="13" t="s">
        <v>23</v>
      </c>
      <c r="H12" s="14" t="s">
        <v>12</v>
      </c>
      <c r="I12" s="35"/>
    </row>
    <row r="13" spans="1:10" ht="19.5" customHeight="1" x14ac:dyDescent="0.2">
      <c r="A13" s="48">
        <v>2</v>
      </c>
      <c r="B13" s="13" t="s">
        <v>91</v>
      </c>
      <c r="C13" s="48" t="s">
        <v>54</v>
      </c>
      <c r="D13" s="12">
        <f>4950-3420</f>
        <v>1530</v>
      </c>
      <c r="E13" s="48" t="s">
        <v>9</v>
      </c>
      <c r="F13" s="13" t="s">
        <v>11</v>
      </c>
      <c r="G13" s="13" t="s">
        <v>23</v>
      </c>
      <c r="H13" s="14"/>
      <c r="I13" s="36"/>
    </row>
    <row r="14" spans="1:10" ht="19.5" customHeight="1" x14ac:dyDescent="0.2">
      <c r="A14" s="48">
        <v>3</v>
      </c>
      <c r="B14" s="52">
        <v>15800000</v>
      </c>
      <c r="C14" s="48" t="s">
        <v>70</v>
      </c>
      <c r="D14" s="12">
        <v>6000</v>
      </c>
      <c r="E14" s="48" t="s">
        <v>9</v>
      </c>
      <c r="F14" s="13" t="s">
        <v>86</v>
      </c>
      <c r="G14" s="13" t="s">
        <v>113</v>
      </c>
      <c r="H14" s="14" t="s">
        <v>105</v>
      </c>
      <c r="I14" s="37"/>
    </row>
    <row r="15" spans="1:10" ht="19.5" customHeight="1" x14ac:dyDescent="0.2">
      <c r="A15" s="48">
        <v>4</v>
      </c>
      <c r="B15" s="52">
        <v>15900000</v>
      </c>
      <c r="C15" s="48" t="s">
        <v>71</v>
      </c>
      <c r="D15" s="12">
        <f>472+465</f>
        <v>937</v>
      </c>
      <c r="E15" s="48" t="s">
        <v>9</v>
      </c>
      <c r="F15" s="13" t="s">
        <v>115</v>
      </c>
      <c r="G15" s="13" t="s">
        <v>115</v>
      </c>
      <c r="H15" s="14" t="s">
        <v>69</v>
      </c>
      <c r="I15" s="38"/>
    </row>
    <row r="16" spans="1:10" ht="19.5" customHeight="1" x14ac:dyDescent="0.2">
      <c r="A16" s="48">
        <v>5</v>
      </c>
      <c r="B16" s="48">
        <v>18100000</v>
      </c>
      <c r="C16" s="48" t="s">
        <v>66</v>
      </c>
      <c r="D16" s="34">
        <f>2000-1937.92</f>
        <v>62.079999999999927</v>
      </c>
      <c r="E16" s="48" t="s">
        <v>9</v>
      </c>
      <c r="F16" s="13" t="s">
        <v>11</v>
      </c>
      <c r="G16" s="13" t="s">
        <v>23</v>
      </c>
      <c r="H16" s="14"/>
    </row>
    <row r="17" spans="1:10" ht="19.5" customHeight="1" x14ac:dyDescent="0.2">
      <c r="A17" s="48">
        <v>6</v>
      </c>
      <c r="B17" s="48">
        <v>18300000</v>
      </c>
      <c r="C17" s="48" t="s">
        <v>72</v>
      </c>
      <c r="D17" s="12">
        <f>4000-4000</f>
        <v>0</v>
      </c>
      <c r="E17" s="48" t="s">
        <v>9</v>
      </c>
      <c r="F17" s="13" t="s">
        <v>11</v>
      </c>
      <c r="G17" s="13" t="s">
        <v>23</v>
      </c>
      <c r="H17" s="14"/>
      <c r="J17" s="31"/>
    </row>
    <row r="18" spans="1:10" ht="19.5" customHeight="1" x14ac:dyDescent="0.2">
      <c r="A18" s="48">
        <v>7</v>
      </c>
      <c r="B18" s="48">
        <v>18400000</v>
      </c>
      <c r="C18" s="48" t="s">
        <v>57</v>
      </c>
      <c r="D18" s="12">
        <f>127100-1010</f>
        <v>126090</v>
      </c>
      <c r="E18" s="48" t="s">
        <v>24</v>
      </c>
      <c r="F18" s="13" t="s">
        <v>11</v>
      </c>
      <c r="G18" s="13" t="s">
        <v>23</v>
      </c>
      <c r="H18" s="14"/>
      <c r="I18" s="37"/>
    </row>
    <row r="19" spans="1:10" ht="19.5" customHeight="1" x14ac:dyDescent="0.2">
      <c r="A19" s="48">
        <v>8</v>
      </c>
      <c r="B19" s="76">
        <v>18500000</v>
      </c>
      <c r="C19" s="76" t="s">
        <v>73</v>
      </c>
      <c r="D19" s="12">
        <f>4990-2178</f>
        <v>2812</v>
      </c>
      <c r="E19" s="48" t="s">
        <v>9</v>
      </c>
      <c r="F19" s="13" t="s">
        <v>11</v>
      </c>
      <c r="G19" s="13" t="s">
        <v>23</v>
      </c>
      <c r="H19" s="14"/>
      <c r="I19" s="37"/>
      <c r="J19" s="8"/>
    </row>
    <row r="20" spans="1:10" ht="19.5" customHeight="1" x14ac:dyDescent="0.2">
      <c r="A20" s="48">
        <v>9</v>
      </c>
      <c r="B20" s="77"/>
      <c r="C20" s="77"/>
      <c r="D20" s="12">
        <f>4100-1060</f>
        <v>3040</v>
      </c>
      <c r="E20" s="48" t="s">
        <v>9</v>
      </c>
      <c r="F20" s="13" t="s">
        <v>115</v>
      </c>
      <c r="G20" s="13" t="s">
        <v>115</v>
      </c>
      <c r="H20" s="14" t="s">
        <v>69</v>
      </c>
    </row>
    <row r="21" spans="1:10" ht="19.5" customHeight="1" x14ac:dyDescent="0.2">
      <c r="A21" s="48">
        <v>10</v>
      </c>
      <c r="B21" s="48">
        <v>18800000</v>
      </c>
      <c r="C21" s="48" t="s">
        <v>58</v>
      </c>
      <c r="D21" s="12">
        <f>14663-14663</f>
        <v>0</v>
      </c>
      <c r="E21" s="48" t="s">
        <v>24</v>
      </c>
      <c r="F21" s="13" t="s">
        <v>11</v>
      </c>
      <c r="G21" s="13" t="s">
        <v>23</v>
      </c>
      <c r="H21" s="14"/>
      <c r="I21" s="36"/>
    </row>
    <row r="22" spans="1:10" ht="19.5" customHeight="1" x14ac:dyDescent="0.2">
      <c r="A22" s="48">
        <v>11</v>
      </c>
      <c r="B22" s="52">
        <v>18900000</v>
      </c>
      <c r="C22" s="48" t="s">
        <v>92</v>
      </c>
      <c r="D22" s="12">
        <f>2750-750</f>
        <v>2000</v>
      </c>
      <c r="E22" s="48" t="s">
        <v>9</v>
      </c>
      <c r="F22" s="13" t="s">
        <v>11</v>
      </c>
      <c r="G22" s="13" t="s">
        <v>23</v>
      </c>
      <c r="H22" s="14"/>
    </row>
    <row r="23" spans="1:10" ht="19.5" customHeight="1" x14ac:dyDescent="0.2">
      <c r="A23" s="48">
        <v>12</v>
      </c>
      <c r="B23" s="48">
        <v>19400000</v>
      </c>
      <c r="C23" s="48" t="s">
        <v>134</v>
      </c>
      <c r="D23" s="12">
        <f>300-300</f>
        <v>0</v>
      </c>
      <c r="E23" s="48" t="s">
        <v>9</v>
      </c>
      <c r="F23" s="13" t="s">
        <v>86</v>
      </c>
      <c r="G23" s="13" t="s">
        <v>113</v>
      </c>
      <c r="H23" s="14"/>
      <c r="I23" s="37"/>
    </row>
    <row r="24" spans="1:10" ht="19.5" customHeight="1" x14ac:dyDescent="0.2">
      <c r="A24" s="48">
        <v>13</v>
      </c>
      <c r="B24" s="76">
        <v>22400000</v>
      </c>
      <c r="C24" s="76" t="s">
        <v>39</v>
      </c>
      <c r="D24" s="12">
        <f>3000-1554</f>
        <v>1446</v>
      </c>
      <c r="E24" s="48" t="s">
        <v>9</v>
      </c>
      <c r="F24" s="13" t="s">
        <v>11</v>
      </c>
      <c r="G24" s="13" t="s">
        <v>23</v>
      </c>
      <c r="H24" s="14"/>
      <c r="I24" s="37"/>
    </row>
    <row r="25" spans="1:10" ht="19.5" customHeight="1" x14ac:dyDescent="0.2">
      <c r="A25" s="48">
        <v>14</v>
      </c>
      <c r="B25" s="77"/>
      <c r="C25" s="77"/>
      <c r="D25" s="18">
        <v>150</v>
      </c>
      <c r="E25" s="48" t="s">
        <v>9</v>
      </c>
      <c r="F25" s="13" t="s">
        <v>115</v>
      </c>
      <c r="G25" s="13" t="s">
        <v>115</v>
      </c>
      <c r="H25" s="14"/>
      <c r="I25" s="38"/>
    </row>
    <row r="26" spans="1:10" ht="19.5" customHeight="1" x14ac:dyDescent="0.2">
      <c r="A26" s="48">
        <v>15</v>
      </c>
      <c r="B26" s="48">
        <v>22800000</v>
      </c>
      <c r="C26" s="48" t="s">
        <v>38</v>
      </c>
      <c r="D26" s="12">
        <f>3000-3000</f>
        <v>0</v>
      </c>
      <c r="E26" s="48" t="s">
        <v>9</v>
      </c>
      <c r="F26" s="13" t="s">
        <v>11</v>
      </c>
      <c r="G26" s="13" t="s">
        <v>23</v>
      </c>
      <c r="H26" s="14"/>
      <c r="I26" s="38"/>
    </row>
    <row r="27" spans="1:10" ht="19.5" customHeight="1" x14ac:dyDescent="0.2">
      <c r="A27" s="48">
        <v>16</v>
      </c>
      <c r="B27" s="48">
        <v>22900000</v>
      </c>
      <c r="C27" s="48" t="s">
        <v>93</v>
      </c>
      <c r="D27" s="12">
        <f>4200-3825</f>
        <v>375</v>
      </c>
      <c r="E27" s="48" t="s">
        <v>9</v>
      </c>
      <c r="F27" s="13" t="s">
        <v>11</v>
      </c>
      <c r="G27" s="13" t="s">
        <v>23</v>
      </c>
      <c r="H27" s="14"/>
      <c r="I27" s="38"/>
    </row>
    <row r="28" spans="1:10" ht="19.5" customHeight="1" x14ac:dyDescent="0.2">
      <c r="A28" s="48">
        <v>17</v>
      </c>
      <c r="B28" s="52">
        <v>24400000</v>
      </c>
      <c r="C28" s="48" t="s">
        <v>64</v>
      </c>
      <c r="D28" s="12">
        <f>185000+83965</f>
        <v>268965</v>
      </c>
      <c r="E28" s="48" t="s">
        <v>24</v>
      </c>
      <c r="F28" s="13" t="s">
        <v>11</v>
      </c>
      <c r="G28" s="13" t="s">
        <v>23</v>
      </c>
      <c r="H28" s="14"/>
      <c r="I28" s="37"/>
    </row>
    <row r="29" spans="1:10" ht="19.5" customHeight="1" x14ac:dyDescent="0.2">
      <c r="A29" s="48">
        <v>18</v>
      </c>
      <c r="B29" s="93">
        <v>30100000</v>
      </c>
      <c r="C29" s="93" t="s">
        <v>20</v>
      </c>
      <c r="D29" s="23">
        <f>23800-20600</f>
        <v>3200</v>
      </c>
      <c r="E29" s="48" t="s">
        <v>13</v>
      </c>
      <c r="F29" s="13" t="s">
        <v>11</v>
      </c>
      <c r="G29" s="13" t="s">
        <v>23</v>
      </c>
      <c r="H29" s="14" t="s">
        <v>12</v>
      </c>
      <c r="I29" s="35"/>
      <c r="J29" s="31"/>
    </row>
    <row r="30" spans="1:10" ht="19.5" customHeight="1" x14ac:dyDescent="0.2">
      <c r="A30" s="48">
        <v>19</v>
      </c>
      <c r="B30" s="93"/>
      <c r="C30" s="93"/>
      <c r="D30" s="23">
        <f>4900-113</f>
        <v>4787</v>
      </c>
      <c r="E30" s="48" t="s">
        <v>9</v>
      </c>
      <c r="F30" s="13" t="s">
        <v>11</v>
      </c>
      <c r="G30" s="13" t="s">
        <v>23</v>
      </c>
      <c r="H30" s="14"/>
      <c r="I30" s="35"/>
    </row>
    <row r="31" spans="1:10" ht="19.5" customHeight="1" x14ac:dyDescent="0.2">
      <c r="A31" s="48">
        <v>20</v>
      </c>
      <c r="B31" s="93">
        <v>30200000</v>
      </c>
      <c r="C31" s="93" t="s">
        <v>46</v>
      </c>
      <c r="D31" s="61">
        <f>17495-150</f>
        <v>17345</v>
      </c>
      <c r="E31" s="48" t="s">
        <v>13</v>
      </c>
      <c r="F31" s="13" t="s">
        <v>11</v>
      </c>
      <c r="G31" s="13" t="s">
        <v>23</v>
      </c>
      <c r="H31" s="14" t="s">
        <v>12</v>
      </c>
      <c r="I31" s="35"/>
    </row>
    <row r="32" spans="1:10" ht="19.5" customHeight="1" x14ac:dyDescent="0.2">
      <c r="A32" s="48">
        <v>21</v>
      </c>
      <c r="B32" s="93"/>
      <c r="C32" s="93"/>
      <c r="D32" s="19">
        <f>4900-1869</f>
        <v>3031</v>
      </c>
      <c r="E32" s="48" t="s">
        <v>9</v>
      </c>
      <c r="F32" s="13" t="s">
        <v>11</v>
      </c>
      <c r="G32" s="13" t="s">
        <v>23</v>
      </c>
      <c r="H32" s="14"/>
      <c r="I32" s="35"/>
      <c r="J32" s="31"/>
    </row>
    <row r="33" spans="1:11" ht="19.5" customHeight="1" x14ac:dyDescent="0.2">
      <c r="A33" s="48">
        <v>22</v>
      </c>
      <c r="B33" s="48">
        <v>31100000</v>
      </c>
      <c r="C33" s="48" t="s">
        <v>135</v>
      </c>
      <c r="D33" s="12">
        <f>500-50</f>
        <v>450</v>
      </c>
      <c r="E33" s="48" t="s">
        <v>9</v>
      </c>
      <c r="F33" s="13" t="s">
        <v>86</v>
      </c>
      <c r="G33" s="13" t="s">
        <v>113</v>
      </c>
      <c r="H33" s="14"/>
      <c r="I33" s="35"/>
    </row>
    <row r="34" spans="1:11" ht="19.5" customHeight="1" x14ac:dyDescent="0.2">
      <c r="A34" s="48">
        <v>23</v>
      </c>
      <c r="B34" s="48">
        <v>31400000</v>
      </c>
      <c r="C34" s="48" t="s">
        <v>27</v>
      </c>
      <c r="D34" s="34">
        <f>2000-274.5</f>
        <v>1725.5</v>
      </c>
      <c r="E34" s="48" t="s">
        <v>24</v>
      </c>
      <c r="F34" s="13" t="s">
        <v>86</v>
      </c>
      <c r="G34" s="13" t="s">
        <v>113</v>
      </c>
      <c r="H34" s="14"/>
    </row>
    <row r="35" spans="1:11" ht="19.5" customHeight="1" x14ac:dyDescent="0.2">
      <c r="A35" s="48">
        <v>24</v>
      </c>
      <c r="B35" s="48">
        <v>31500000</v>
      </c>
      <c r="C35" s="48" t="s">
        <v>49</v>
      </c>
      <c r="D35" s="12">
        <f>4950-1730</f>
        <v>3220</v>
      </c>
      <c r="E35" s="48" t="s">
        <v>9</v>
      </c>
      <c r="F35" s="13" t="s">
        <v>11</v>
      </c>
      <c r="G35" s="13" t="s">
        <v>23</v>
      </c>
      <c r="H35" s="27"/>
    </row>
    <row r="36" spans="1:11" ht="19.5" customHeight="1" x14ac:dyDescent="0.2">
      <c r="A36" s="48">
        <v>25</v>
      </c>
      <c r="B36" s="48">
        <v>32200000</v>
      </c>
      <c r="C36" s="48" t="s">
        <v>102</v>
      </c>
      <c r="D36" s="12">
        <f>4950-4950</f>
        <v>0</v>
      </c>
      <c r="E36" s="48" t="s">
        <v>9</v>
      </c>
      <c r="F36" s="13" t="s">
        <v>11</v>
      </c>
      <c r="G36" s="13" t="s">
        <v>23</v>
      </c>
      <c r="H36" s="27"/>
      <c r="K36" s="9"/>
    </row>
    <row r="37" spans="1:11" ht="19.5" customHeight="1" x14ac:dyDescent="0.2">
      <c r="A37" s="48">
        <v>26</v>
      </c>
      <c r="B37" s="93">
        <v>32300000</v>
      </c>
      <c r="C37" s="93" t="s">
        <v>106</v>
      </c>
      <c r="D37" s="12">
        <f>1900-1900</f>
        <v>0</v>
      </c>
      <c r="E37" s="48" t="s">
        <v>9</v>
      </c>
      <c r="F37" s="13" t="s">
        <v>11</v>
      </c>
      <c r="G37" s="13" t="s">
        <v>23</v>
      </c>
      <c r="H37" s="27"/>
      <c r="I37" s="35"/>
    </row>
    <row r="38" spans="1:11" ht="19.5" customHeight="1" x14ac:dyDescent="0.2">
      <c r="A38" s="48">
        <v>27</v>
      </c>
      <c r="B38" s="93"/>
      <c r="C38" s="93"/>
      <c r="D38" s="18">
        <v>820</v>
      </c>
      <c r="E38" s="48" t="s">
        <v>9</v>
      </c>
      <c r="F38" s="13" t="s">
        <v>11</v>
      </c>
      <c r="G38" s="13" t="s">
        <v>23</v>
      </c>
      <c r="H38" s="27"/>
      <c r="I38" s="38"/>
    </row>
    <row r="39" spans="1:11" ht="19.5" customHeight="1" x14ac:dyDescent="0.2">
      <c r="A39" s="48">
        <v>28</v>
      </c>
      <c r="B39" s="52">
        <v>33700000</v>
      </c>
      <c r="C39" s="48" t="s">
        <v>136</v>
      </c>
      <c r="D39" s="12">
        <v>500</v>
      </c>
      <c r="E39" s="48" t="s">
        <v>9</v>
      </c>
      <c r="F39" s="13" t="s">
        <v>86</v>
      </c>
      <c r="G39" s="13" t="s">
        <v>113</v>
      </c>
      <c r="H39" s="14" t="s">
        <v>105</v>
      </c>
      <c r="I39" s="37"/>
    </row>
    <row r="40" spans="1:11" ht="19.5" customHeight="1" x14ac:dyDescent="0.2">
      <c r="A40" s="48">
        <v>29</v>
      </c>
      <c r="B40" s="48">
        <v>34100000</v>
      </c>
      <c r="C40" s="48" t="s">
        <v>45</v>
      </c>
      <c r="D40" s="18">
        <v>373800</v>
      </c>
      <c r="E40" s="48" t="s">
        <v>13</v>
      </c>
      <c r="F40" s="13" t="s">
        <v>11</v>
      </c>
      <c r="G40" s="13" t="s">
        <v>23</v>
      </c>
      <c r="H40" s="14" t="s">
        <v>12</v>
      </c>
      <c r="I40" s="35"/>
      <c r="J40" s="8"/>
    </row>
    <row r="41" spans="1:11" ht="19.5" customHeight="1" x14ac:dyDescent="0.2">
      <c r="A41" s="48">
        <v>30</v>
      </c>
      <c r="B41" s="93">
        <v>34300000</v>
      </c>
      <c r="C41" s="93" t="s">
        <v>34</v>
      </c>
      <c r="D41" s="12">
        <f>157316+5440</f>
        <v>162756</v>
      </c>
      <c r="E41" s="48" t="s">
        <v>13</v>
      </c>
      <c r="F41" s="13" t="s">
        <v>11</v>
      </c>
      <c r="G41" s="13" t="s">
        <v>23</v>
      </c>
      <c r="H41" s="14" t="s">
        <v>12</v>
      </c>
    </row>
    <row r="42" spans="1:11" ht="19.5" customHeight="1" x14ac:dyDescent="0.2">
      <c r="A42" s="48">
        <v>31</v>
      </c>
      <c r="B42" s="93"/>
      <c r="C42" s="93"/>
      <c r="D42" s="12">
        <f>700-700</f>
        <v>0</v>
      </c>
      <c r="E42" s="48" t="s">
        <v>9</v>
      </c>
      <c r="F42" s="13" t="s">
        <v>86</v>
      </c>
      <c r="G42" s="13" t="s">
        <v>113</v>
      </c>
      <c r="H42" s="14"/>
      <c r="I42" s="37"/>
    </row>
    <row r="43" spans="1:11" ht="19.5" customHeight="1" x14ac:dyDescent="0.2">
      <c r="A43" s="48">
        <v>32</v>
      </c>
      <c r="B43" s="48">
        <v>34900000</v>
      </c>
      <c r="C43" s="48" t="s">
        <v>107</v>
      </c>
      <c r="D43" s="12">
        <f>3000-2850</f>
        <v>150</v>
      </c>
      <c r="E43" s="48" t="s">
        <v>9</v>
      </c>
      <c r="F43" s="13" t="s">
        <v>11</v>
      </c>
      <c r="G43" s="13" t="s">
        <v>23</v>
      </c>
      <c r="H43" s="14"/>
      <c r="I43" s="35"/>
      <c r="J43" s="31"/>
    </row>
    <row r="44" spans="1:11" ht="19.5" customHeight="1" x14ac:dyDescent="0.2">
      <c r="A44" s="48">
        <v>33</v>
      </c>
      <c r="B44" s="48">
        <v>35100000</v>
      </c>
      <c r="C44" s="48" t="s">
        <v>65</v>
      </c>
      <c r="D44" s="12">
        <f>4990-370</f>
        <v>4620</v>
      </c>
      <c r="E44" s="48" t="s">
        <v>9</v>
      </c>
      <c r="F44" s="13" t="s">
        <v>86</v>
      </c>
      <c r="G44" s="13" t="s">
        <v>113</v>
      </c>
      <c r="H44" s="48"/>
      <c r="I44" s="39"/>
    </row>
    <row r="45" spans="1:11" s="10" customFormat="1" ht="19.5" customHeight="1" x14ac:dyDescent="0.2">
      <c r="A45" s="48">
        <v>34</v>
      </c>
      <c r="B45" s="48">
        <v>35300000</v>
      </c>
      <c r="C45" s="48" t="s">
        <v>114</v>
      </c>
      <c r="D45" s="12">
        <v>4900</v>
      </c>
      <c r="E45" s="48" t="s">
        <v>9</v>
      </c>
      <c r="F45" s="13" t="s">
        <v>115</v>
      </c>
      <c r="G45" s="13" t="s">
        <v>115</v>
      </c>
      <c r="H45" s="27"/>
      <c r="I45" s="31"/>
    </row>
    <row r="46" spans="1:11" ht="19.5" customHeight="1" x14ac:dyDescent="0.2">
      <c r="A46" s="48">
        <v>35</v>
      </c>
      <c r="B46" s="48">
        <v>35800000</v>
      </c>
      <c r="C46" s="48" t="s">
        <v>62</v>
      </c>
      <c r="D46" s="12">
        <f>4000-4000</f>
        <v>0</v>
      </c>
      <c r="E46" s="48" t="s">
        <v>9</v>
      </c>
      <c r="F46" s="13" t="s">
        <v>11</v>
      </c>
      <c r="G46" s="13" t="s">
        <v>23</v>
      </c>
      <c r="H46" s="48"/>
      <c r="I46" s="35"/>
    </row>
    <row r="47" spans="1:11" s="10" customFormat="1" ht="19.5" customHeight="1" x14ac:dyDescent="0.2">
      <c r="A47" s="48">
        <v>36</v>
      </c>
      <c r="B47" s="48">
        <v>38300000</v>
      </c>
      <c r="C47" s="48" t="s">
        <v>108</v>
      </c>
      <c r="D47" s="12">
        <f>3000-3000</f>
        <v>0</v>
      </c>
      <c r="E47" s="48" t="s">
        <v>9</v>
      </c>
      <c r="F47" s="13" t="s">
        <v>11</v>
      </c>
      <c r="G47" s="13" t="s">
        <v>23</v>
      </c>
      <c r="H47" s="29"/>
      <c r="I47" s="31"/>
    </row>
    <row r="48" spans="1:11" ht="19.5" customHeight="1" x14ac:dyDescent="0.2">
      <c r="A48" s="48">
        <v>37</v>
      </c>
      <c r="B48" s="50">
        <v>38600000</v>
      </c>
      <c r="C48" s="48" t="s">
        <v>116</v>
      </c>
      <c r="D48" s="20">
        <v>400</v>
      </c>
      <c r="E48" s="48" t="s">
        <v>9</v>
      </c>
      <c r="F48" s="13" t="s">
        <v>86</v>
      </c>
      <c r="G48" s="13" t="s">
        <v>113</v>
      </c>
      <c r="H48" s="14" t="s">
        <v>69</v>
      </c>
      <c r="I48" s="37"/>
      <c r="J48" s="22"/>
    </row>
    <row r="49" spans="1:10" ht="19.5" customHeight="1" x14ac:dyDescent="0.2">
      <c r="A49" s="48">
        <v>38</v>
      </c>
      <c r="B49" s="93">
        <v>39100000</v>
      </c>
      <c r="C49" s="93" t="s">
        <v>10</v>
      </c>
      <c r="D49" s="12">
        <f>2565-2005</f>
        <v>560</v>
      </c>
      <c r="E49" s="48" t="s">
        <v>9</v>
      </c>
      <c r="F49" s="13" t="s">
        <v>11</v>
      </c>
      <c r="G49" s="13" t="s">
        <v>23</v>
      </c>
      <c r="H49" s="14"/>
      <c r="I49" s="37"/>
      <c r="J49" s="22"/>
    </row>
    <row r="50" spans="1:10" ht="19.5" customHeight="1" x14ac:dyDescent="0.2">
      <c r="A50" s="48">
        <v>39</v>
      </c>
      <c r="B50" s="93"/>
      <c r="C50" s="93"/>
      <c r="D50" s="18">
        <v>2335</v>
      </c>
      <c r="E50" s="48" t="s">
        <v>9</v>
      </c>
      <c r="F50" s="13" t="s">
        <v>87</v>
      </c>
      <c r="G50" s="13" t="s">
        <v>124</v>
      </c>
      <c r="H50" s="14"/>
      <c r="J50" s="8"/>
    </row>
    <row r="51" spans="1:10" s="10" customFormat="1" ht="19.5" customHeight="1" x14ac:dyDescent="0.2">
      <c r="A51" s="48">
        <v>40</v>
      </c>
      <c r="B51" s="48">
        <v>39200000</v>
      </c>
      <c r="C51" s="48" t="s">
        <v>67</v>
      </c>
      <c r="D51" s="12">
        <f>4900-232</f>
        <v>4668</v>
      </c>
      <c r="E51" s="48" t="s">
        <v>9</v>
      </c>
      <c r="F51" s="13" t="s">
        <v>11</v>
      </c>
      <c r="G51" s="13" t="s">
        <v>23</v>
      </c>
      <c r="H51" s="48"/>
      <c r="I51" s="31"/>
    </row>
    <row r="52" spans="1:10" ht="19.5" customHeight="1" x14ac:dyDescent="0.2">
      <c r="A52" s="48">
        <v>41</v>
      </c>
      <c r="B52" s="48">
        <v>39500000</v>
      </c>
      <c r="C52" s="48" t="s">
        <v>75</v>
      </c>
      <c r="D52" s="12">
        <f>4000-1645</f>
        <v>2355</v>
      </c>
      <c r="E52" s="48" t="s">
        <v>9</v>
      </c>
      <c r="F52" s="13" t="s">
        <v>11</v>
      </c>
      <c r="G52" s="13" t="s">
        <v>23</v>
      </c>
      <c r="H52" s="48"/>
      <c r="I52" s="35"/>
      <c r="J52" s="8"/>
    </row>
    <row r="53" spans="1:10" s="30" customFormat="1" ht="19.5" customHeight="1" x14ac:dyDescent="0.2">
      <c r="A53" s="48">
        <v>42</v>
      </c>
      <c r="B53" s="93">
        <v>39700000</v>
      </c>
      <c r="C53" s="93" t="s">
        <v>117</v>
      </c>
      <c r="D53" s="12">
        <f>4000-360</f>
        <v>3640</v>
      </c>
      <c r="E53" s="48" t="s">
        <v>9</v>
      </c>
      <c r="F53" s="13" t="s">
        <v>11</v>
      </c>
      <c r="G53" s="13" t="s">
        <v>23</v>
      </c>
      <c r="H53" s="48"/>
      <c r="I53" s="31"/>
    </row>
    <row r="54" spans="1:10" ht="19.5" customHeight="1" x14ac:dyDescent="0.2">
      <c r="A54" s="48">
        <v>43</v>
      </c>
      <c r="B54" s="93"/>
      <c r="C54" s="93"/>
      <c r="D54" s="18">
        <v>900</v>
      </c>
      <c r="E54" s="48" t="s">
        <v>9</v>
      </c>
      <c r="F54" s="13" t="s">
        <v>11</v>
      </c>
      <c r="G54" s="13" t="s">
        <v>23</v>
      </c>
      <c r="H54" s="48"/>
      <c r="I54" s="36"/>
    </row>
    <row r="55" spans="1:10" ht="19.5" customHeight="1" x14ac:dyDescent="0.2">
      <c r="A55" s="48">
        <v>44</v>
      </c>
      <c r="B55" s="52">
        <v>41100000</v>
      </c>
      <c r="C55" s="48" t="s">
        <v>95</v>
      </c>
      <c r="D55" s="12">
        <v>1500</v>
      </c>
      <c r="E55" s="48" t="s">
        <v>9</v>
      </c>
      <c r="F55" s="13" t="s">
        <v>86</v>
      </c>
      <c r="G55" s="13" t="s">
        <v>113</v>
      </c>
      <c r="H55" s="14" t="s">
        <v>105</v>
      </c>
      <c r="I55" s="36"/>
    </row>
    <row r="56" spans="1:10" ht="19.5" customHeight="1" x14ac:dyDescent="0.2">
      <c r="A56" s="48">
        <v>45</v>
      </c>
      <c r="B56" s="48">
        <v>42400000</v>
      </c>
      <c r="C56" s="48" t="s">
        <v>61</v>
      </c>
      <c r="D56" s="12">
        <f>3000-3000</f>
        <v>0</v>
      </c>
      <c r="E56" s="48" t="s">
        <v>9</v>
      </c>
      <c r="F56" s="13" t="s">
        <v>11</v>
      </c>
      <c r="G56" s="13" t="s">
        <v>23</v>
      </c>
      <c r="H56" s="14"/>
      <c r="I56" s="36"/>
      <c r="J56" s="31"/>
    </row>
    <row r="57" spans="1:10" ht="19.5" customHeight="1" x14ac:dyDescent="0.2">
      <c r="A57" s="48">
        <v>46</v>
      </c>
      <c r="B57" s="48">
        <v>42600000</v>
      </c>
      <c r="C57" s="48" t="s">
        <v>63</v>
      </c>
      <c r="D57" s="12">
        <f>4950-12</f>
        <v>4938</v>
      </c>
      <c r="E57" s="48" t="s">
        <v>9</v>
      </c>
      <c r="F57" s="13" t="s">
        <v>11</v>
      </c>
      <c r="G57" s="13" t="s">
        <v>23</v>
      </c>
      <c r="H57" s="14"/>
      <c r="J57" s="31"/>
    </row>
    <row r="58" spans="1:10" ht="19.5" customHeight="1" x14ac:dyDescent="0.2">
      <c r="A58" s="48">
        <v>47</v>
      </c>
      <c r="B58" s="48">
        <v>44100000</v>
      </c>
      <c r="C58" s="48" t="s">
        <v>76</v>
      </c>
      <c r="D58" s="12">
        <v>3000</v>
      </c>
      <c r="E58" s="48" t="s">
        <v>9</v>
      </c>
      <c r="F58" s="13" t="s">
        <v>11</v>
      </c>
      <c r="G58" s="13" t="s">
        <v>23</v>
      </c>
      <c r="H58" s="14"/>
      <c r="I58" s="35"/>
    </row>
    <row r="59" spans="1:10" ht="19.5" customHeight="1" x14ac:dyDescent="0.2">
      <c r="A59" s="48">
        <v>48</v>
      </c>
      <c r="B59" s="48">
        <v>44200000</v>
      </c>
      <c r="C59" s="48" t="s">
        <v>103</v>
      </c>
      <c r="D59" s="18">
        <v>4950</v>
      </c>
      <c r="E59" s="48" t="s">
        <v>9</v>
      </c>
      <c r="F59" s="13" t="s">
        <v>11</v>
      </c>
      <c r="G59" s="13" t="s">
        <v>23</v>
      </c>
      <c r="H59" s="14"/>
      <c r="I59" s="37"/>
      <c r="J59" s="8"/>
    </row>
    <row r="60" spans="1:10" ht="19.5" customHeight="1" x14ac:dyDescent="0.2">
      <c r="A60" s="48">
        <v>49</v>
      </c>
      <c r="B60" s="52">
        <v>44300000</v>
      </c>
      <c r="C60" s="48" t="s">
        <v>77</v>
      </c>
      <c r="D60" s="12">
        <f>52000-3000</f>
        <v>49000</v>
      </c>
      <c r="E60" s="48" t="s">
        <v>24</v>
      </c>
      <c r="F60" s="13" t="s">
        <v>11</v>
      </c>
      <c r="G60" s="13" t="s">
        <v>23</v>
      </c>
      <c r="H60" s="48"/>
    </row>
    <row r="61" spans="1:10" ht="19.5" customHeight="1" x14ac:dyDescent="0.2">
      <c r="A61" s="48">
        <v>50</v>
      </c>
      <c r="B61" s="76">
        <v>44400000</v>
      </c>
      <c r="C61" s="76" t="s">
        <v>41</v>
      </c>
      <c r="D61" s="12">
        <v>103250</v>
      </c>
      <c r="E61" s="48" t="s">
        <v>24</v>
      </c>
      <c r="F61" s="13" t="s">
        <v>86</v>
      </c>
      <c r="G61" s="13" t="s">
        <v>113</v>
      </c>
      <c r="H61" s="14"/>
    </row>
    <row r="62" spans="1:10" ht="19.5" customHeight="1" x14ac:dyDescent="0.2">
      <c r="A62" s="48">
        <v>51</v>
      </c>
      <c r="B62" s="88"/>
      <c r="C62" s="88"/>
      <c r="D62" s="12">
        <f>1400-1030</f>
        <v>370</v>
      </c>
      <c r="E62" s="48" t="s">
        <v>9</v>
      </c>
      <c r="F62" s="13" t="s">
        <v>11</v>
      </c>
      <c r="G62" s="13" t="s">
        <v>23</v>
      </c>
      <c r="H62" s="14"/>
      <c r="I62" s="37"/>
    </row>
    <row r="63" spans="1:10" ht="19.5" customHeight="1" x14ac:dyDescent="0.2">
      <c r="A63" s="48">
        <v>52</v>
      </c>
      <c r="B63" s="77"/>
      <c r="C63" s="77"/>
      <c r="D63" s="18">
        <f>1900+1600</f>
        <v>3500</v>
      </c>
      <c r="E63" s="48" t="s">
        <v>9</v>
      </c>
      <c r="F63" s="13" t="s">
        <v>11</v>
      </c>
      <c r="G63" s="13" t="s">
        <v>23</v>
      </c>
      <c r="H63" s="14"/>
    </row>
    <row r="64" spans="1:10" ht="25.5" x14ac:dyDescent="0.2">
      <c r="A64" s="48">
        <v>53</v>
      </c>
      <c r="B64" s="50">
        <v>44500000</v>
      </c>
      <c r="C64" s="48" t="s">
        <v>59</v>
      </c>
      <c r="D64" s="12">
        <f>2000-2000</f>
        <v>0</v>
      </c>
      <c r="E64" s="48" t="s">
        <v>9</v>
      </c>
      <c r="F64" s="13" t="s">
        <v>11</v>
      </c>
      <c r="G64" s="13" t="s">
        <v>23</v>
      </c>
      <c r="H64" s="48"/>
    </row>
    <row r="65" spans="1:9" ht="15.75" customHeight="1" x14ac:dyDescent="0.2">
      <c r="A65" s="48">
        <v>54</v>
      </c>
      <c r="B65" s="48">
        <v>44800000</v>
      </c>
      <c r="C65" s="48" t="s">
        <v>78</v>
      </c>
      <c r="D65" s="12">
        <f>4500-4272</f>
        <v>228</v>
      </c>
      <c r="E65" s="48" t="s">
        <v>9</v>
      </c>
      <c r="F65" s="13" t="s">
        <v>11</v>
      </c>
      <c r="G65" s="13" t="s">
        <v>23</v>
      </c>
      <c r="H65" s="14"/>
    </row>
    <row r="66" spans="1:9" ht="17.25" customHeight="1" x14ac:dyDescent="0.2">
      <c r="A66" s="48">
        <v>55</v>
      </c>
      <c r="B66" s="50">
        <v>48400000</v>
      </c>
      <c r="C66" s="48" t="s">
        <v>96</v>
      </c>
      <c r="D66" s="20">
        <f>18000-5851</f>
        <v>12149</v>
      </c>
      <c r="E66" s="48" t="s">
        <v>9</v>
      </c>
      <c r="F66" s="13" t="s">
        <v>11</v>
      </c>
      <c r="G66" s="13" t="s">
        <v>23</v>
      </c>
      <c r="H66" s="14" t="s">
        <v>17</v>
      </c>
      <c r="I66" s="42"/>
    </row>
    <row r="67" spans="1:9" ht="27.75" customHeight="1" x14ac:dyDescent="0.2">
      <c r="A67" s="48">
        <v>56</v>
      </c>
      <c r="B67" s="93">
        <v>50100000</v>
      </c>
      <c r="C67" s="93" t="s">
        <v>21</v>
      </c>
      <c r="D67" s="12">
        <f>505000-207201</f>
        <v>297799</v>
      </c>
      <c r="E67" s="48" t="s">
        <v>24</v>
      </c>
      <c r="F67" s="13" t="s">
        <v>11</v>
      </c>
      <c r="G67" s="13" t="s">
        <v>23</v>
      </c>
      <c r="H67" s="14"/>
    </row>
    <row r="68" spans="1:9" ht="13.5" customHeight="1" x14ac:dyDescent="0.2">
      <c r="A68" s="48">
        <v>57</v>
      </c>
      <c r="B68" s="93"/>
      <c r="C68" s="93"/>
      <c r="D68" s="12">
        <f>143700-48190</f>
        <v>95510</v>
      </c>
      <c r="E68" s="48" t="s">
        <v>9</v>
      </c>
      <c r="F68" s="13" t="s">
        <v>11</v>
      </c>
      <c r="G68" s="13" t="s">
        <v>23</v>
      </c>
      <c r="H68" s="14" t="s">
        <v>50</v>
      </c>
    </row>
    <row r="69" spans="1:9" ht="20.25" customHeight="1" x14ac:dyDescent="0.2">
      <c r="A69" s="48">
        <v>58</v>
      </c>
      <c r="B69" s="48">
        <v>50500000</v>
      </c>
      <c r="C69" s="48" t="s">
        <v>81</v>
      </c>
      <c r="D69" s="12">
        <v>4950</v>
      </c>
      <c r="E69" s="48" t="s">
        <v>9</v>
      </c>
      <c r="F69" s="13" t="s">
        <v>11</v>
      </c>
      <c r="G69" s="13" t="s">
        <v>23</v>
      </c>
      <c r="H69" s="14"/>
    </row>
    <row r="70" spans="1:9" ht="25.5" x14ac:dyDescent="0.2">
      <c r="A70" s="48">
        <v>59</v>
      </c>
      <c r="B70" s="50">
        <v>50700000</v>
      </c>
      <c r="C70" s="48" t="s">
        <v>43</v>
      </c>
      <c r="D70" s="20">
        <f>2000-2000</f>
        <v>0</v>
      </c>
      <c r="E70" s="48" t="s">
        <v>9</v>
      </c>
      <c r="F70" s="13" t="s">
        <v>11</v>
      </c>
      <c r="G70" s="13" t="s">
        <v>23</v>
      </c>
      <c r="H70" s="14"/>
      <c r="I70" s="43"/>
    </row>
    <row r="71" spans="1:9" x14ac:dyDescent="0.2">
      <c r="A71" s="48">
        <v>60</v>
      </c>
      <c r="B71" s="76">
        <v>55300000</v>
      </c>
      <c r="C71" s="76" t="s">
        <v>128</v>
      </c>
      <c r="D71" s="12">
        <f>4310-2530</f>
        <v>1780</v>
      </c>
      <c r="E71" s="48" t="s">
        <v>9</v>
      </c>
      <c r="F71" s="13" t="s">
        <v>11</v>
      </c>
      <c r="G71" s="13" t="s">
        <v>23</v>
      </c>
      <c r="H71" s="14"/>
    </row>
    <row r="72" spans="1:9" ht="13.5" customHeight="1" x14ac:dyDescent="0.2">
      <c r="A72" s="48">
        <v>61</v>
      </c>
      <c r="B72" s="77"/>
      <c r="C72" s="77"/>
      <c r="D72" s="12">
        <f>680-680</f>
        <v>0</v>
      </c>
      <c r="E72" s="48" t="s">
        <v>9</v>
      </c>
      <c r="F72" s="13" t="s">
        <v>11</v>
      </c>
      <c r="G72" s="13" t="s">
        <v>23</v>
      </c>
      <c r="H72" s="14" t="s">
        <v>69</v>
      </c>
    </row>
    <row r="73" spans="1:9" x14ac:dyDescent="0.2">
      <c r="A73" s="48">
        <v>62</v>
      </c>
      <c r="B73" s="48">
        <v>63100000</v>
      </c>
      <c r="C73" s="48" t="s">
        <v>44</v>
      </c>
      <c r="D73" s="34">
        <f>80000-19734.8</f>
        <v>60265.2</v>
      </c>
      <c r="E73" s="48" t="s">
        <v>24</v>
      </c>
      <c r="F73" s="13" t="s">
        <v>11</v>
      </c>
      <c r="G73" s="13" t="s">
        <v>23</v>
      </c>
      <c r="H73" s="14"/>
    </row>
    <row r="74" spans="1:9" ht="16.5" customHeight="1" x14ac:dyDescent="0.2">
      <c r="A74" s="48">
        <v>63</v>
      </c>
      <c r="B74" s="48">
        <v>63700000</v>
      </c>
      <c r="C74" s="48" t="s">
        <v>18</v>
      </c>
      <c r="D74" s="12">
        <v>2500</v>
      </c>
      <c r="E74" s="48" t="s">
        <v>9</v>
      </c>
      <c r="F74" s="13" t="s">
        <v>11</v>
      </c>
      <c r="G74" s="13" t="s">
        <v>23</v>
      </c>
      <c r="H74" s="14" t="s">
        <v>16</v>
      </c>
    </row>
    <row r="75" spans="1:9" x14ac:dyDescent="0.2">
      <c r="A75" s="48">
        <v>64</v>
      </c>
      <c r="B75" s="48">
        <v>71300000</v>
      </c>
      <c r="C75" s="48" t="s">
        <v>129</v>
      </c>
      <c r="D75" s="12">
        <v>3000</v>
      </c>
      <c r="E75" s="48" t="s">
        <v>9</v>
      </c>
      <c r="F75" s="13" t="s">
        <v>86</v>
      </c>
      <c r="G75" s="13" t="s">
        <v>113</v>
      </c>
      <c r="H75" s="14"/>
    </row>
    <row r="76" spans="1:9" ht="25.5" x14ac:dyDescent="0.2">
      <c r="A76" s="48">
        <v>65</v>
      </c>
      <c r="B76" s="48">
        <v>71600000</v>
      </c>
      <c r="C76" s="48" t="s">
        <v>52</v>
      </c>
      <c r="D76" s="12">
        <f>8000-1220</f>
        <v>6780</v>
      </c>
      <c r="E76" s="48" t="s">
        <v>9</v>
      </c>
      <c r="F76" s="13" t="s">
        <v>11</v>
      </c>
      <c r="G76" s="13" t="s">
        <v>23</v>
      </c>
      <c r="H76" s="14" t="s">
        <v>16</v>
      </c>
    </row>
    <row r="77" spans="1:9" ht="25.5" x14ac:dyDescent="0.2">
      <c r="A77" s="48">
        <v>66</v>
      </c>
      <c r="B77" s="50">
        <v>72200000</v>
      </c>
      <c r="C77" s="48" t="s">
        <v>22</v>
      </c>
      <c r="D77" s="12">
        <f>195700-133</f>
        <v>195567</v>
      </c>
      <c r="E77" s="48" t="s">
        <v>9</v>
      </c>
      <c r="F77" s="13" t="s">
        <v>11</v>
      </c>
      <c r="G77" s="13" t="s">
        <v>23</v>
      </c>
      <c r="H77" s="14" t="s">
        <v>16</v>
      </c>
    </row>
    <row r="78" spans="1:9" x14ac:dyDescent="0.2">
      <c r="A78" s="48">
        <v>67</v>
      </c>
      <c r="B78" s="48">
        <v>72400000</v>
      </c>
      <c r="C78" s="48" t="s">
        <v>28</v>
      </c>
      <c r="D78" s="12">
        <v>30</v>
      </c>
      <c r="E78" s="48" t="s">
        <v>30</v>
      </c>
      <c r="F78" s="13" t="s">
        <v>11</v>
      </c>
      <c r="G78" s="13" t="s">
        <v>23</v>
      </c>
      <c r="H78" s="14"/>
    </row>
    <row r="79" spans="1:9" x14ac:dyDescent="0.2">
      <c r="A79" s="48">
        <v>68</v>
      </c>
      <c r="B79" s="48">
        <v>77200000</v>
      </c>
      <c r="C79" s="48" t="s">
        <v>25</v>
      </c>
      <c r="D79" s="12">
        <f>13001204-55000</f>
        <v>12946204</v>
      </c>
      <c r="E79" s="48" t="s">
        <v>24</v>
      </c>
      <c r="F79" s="13" t="s">
        <v>11</v>
      </c>
      <c r="G79" s="13" t="s">
        <v>23</v>
      </c>
      <c r="H79" s="14"/>
    </row>
    <row r="80" spans="1:9" ht="25.5" x14ac:dyDescent="0.2">
      <c r="A80" s="48">
        <v>69</v>
      </c>
      <c r="B80" s="48">
        <v>79400000</v>
      </c>
      <c r="C80" s="48" t="s">
        <v>130</v>
      </c>
      <c r="D80" s="12">
        <f>4900-550</f>
        <v>4350</v>
      </c>
      <c r="E80" s="48" t="s">
        <v>30</v>
      </c>
      <c r="F80" s="13" t="s">
        <v>87</v>
      </c>
      <c r="G80" s="13" t="s">
        <v>124</v>
      </c>
      <c r="H80" s="14"/>
    </row>
    <row r="81" spans="1:14" x14ac:dyDescent="0.2">
      <c r="A81" s="48">
        <v>70</v>
      </c>
      <c r="B81" s="48">
        <v>79800000</v>
      </c>
      <c r="C81" s="48" t="s">
        <v>56</v>
      </c>
      <c r="D81" s="12">
        <f>10000-10000</f>
        <v>0</v>
      </c>
      <c r="E81" s="48" t="s">
        <v>24</v>
      </c>
      <c r="F81" s="13" t="s">
        <v>11</v>
      </c>
      <c r="G81" s="13" t="s">
        <v>23</v>
      </c>
      <c r="H81" s="14"/>
    </row>
    <row r="82" spans="1:14" x14ac:dyDescent="0.2">
      <c r="A82" s="48">
        <v>71</v>
      </c>
      <c r="B82" s="93">
        <v>79900000</v>
      </c>
      <c r="C82" s="93" t="s">
        <v>82</v>
      </c>
      <c r="D82" s="12">
        <f>4680-1680</f>
        <v>3000</v>
      </c>
      <c r="E82" s="48" t="s">
        <v>9</v>
      </c>
      <c r="F82" s="13" t="s">
        <v>11</v>
      </c>
      <c r="G82" s="13" t="s">
        <v>23</v>
      </c>
      <c r="H82" s="14" t="s">
        <v>16</v>
      </c>
    </row>
    <row r="83" spans="1:14" x14ac:dyDescent="0.2">
      <c r="A83" s="48">
        <v>72</v>
      </c>
      <c r="B83" s="93"/>
      <c r="C83" s="93"/>
      <c r="D83" s="12">
        <v>4990</v>
      </c>
      <c r="E83" s="48" t="s">
        <v>9</v>
      </c>
      <c r="F83" s="13" t="s">
        <v>11</v>
      </c>
      <c r="G83" s="13" t="s">
        <v>23</v>
      </c>
      <c r="H83" s="14"/>
      <c r="M83" s="8"/>
      <c r="N83" s="8"/>
    </row>
    <row r="84" spans="1:14" x14ac:dyDescent="0.2">
      <c r="A84" s="48">
        <v>73</v>
      </c>
      <c r="B84" s="48">
        <v>80500000</v>
      </c>
      <c r="C84" s="48" t="s">
        <v>90</v>
      </c>
      <c r="D84" s="12">
        <f>2400-2010</f>
        <v>390</v>
      </c>
      <c r="E84" s="48" t="s">
        <v>9</v>
      </c>
      <c r="F84" s="13" t="s">
        <v>11</v>
      </c>
      <c r="G84" s="13" t="s">
        <v>23</v>
      </c>
      <c r="H84" s="14"/>
      <c r="M84" s="8"/>
      <c r="N84" s="8"/>
    </row>
    <row r="85" spans="1:14" x14ac:dyDescent="0.2">
      <c r="A85" s="48">
        <v>74</v>
      </c>
      <c r="B85" s="48">
        <v>90900000</v>
      </c>
      <c r="C85" s="48" t="s">
        <v>68</v>
      </c>
      <c r="D85" s="12">
        <f>4500-4500</f>
        <v>0</v>
      </c>
      <c r="E85" s="48" t="s">
        <v>9</v>
      </c>
      <c r="F85" s="13" t="s">
        <v>11</v>
      </c>
      <c r="G85" s="13" t="s">
        <v>23</v>
      </c>
      <c r="H85" s="14"/>
      <c r="M85" s="8"/>
      <c r="N85" s="8"/>
    </row>
    <row r="86" spans="1:14" ht="19.5" customHeight="1" x14ac:dyDescent="0.2">
      <c r="A86" s="48">
        <v>75</v>
      </c>
      <c r="B86" s="48">
        <v>92500000</v>
      </c>
      <c r="C86" s="48" t="s">
        <v>35</v>
      </c>
      <c r="D86" s="34">
        <f>94335-32021.5</f>
        <v>62313.5</v>
      </c>
      <c r="E86" s="48" t="s">
        <v>9</v>
      </c>
      <c r="F86" s="13" t="s">
        <v>11</v>
      </c>
      <c r="G86" s="13" t="s">
        <v>23</v>
      </c>
      <c r="H86" s="14" t="s">
        <v>16</v>
      </c>
      <c r="M86" s="8"/>
      <c r="N86" s="8"/>
    </row>
    <row r="87" spans="1:14" x14ac:dyDescent="0.2">
      <c r="A87" s="48">
        <v>76</v>
      </c>
      <c r="B87" s="48">
        <v>98300000</v>
      </c>
      <c r="C87" s="48" t="s">
        <v>83</v>
      </c>
      <c r="D87" s="12">
        <f>3000-2075</f>
        <v>925</v>
      </c>
      <c r="E87" s="48" t="s">
        <v>9</v>
      </c>
      <c r="F87" s="13" t="s">
        <v>11</v>
      </c>
      <c r="G87" s="13" t="s">
        <v>23</v>
      </c>
      <c r="H87" s="14"/>
      <c r="M87" s="8"/>
      <c r="N87" s="8"/>
    </row>
    <row r="88" spans="1:14" ht="24.75" customHeight="1" x14ac:dyDescent="0.2">
      <c r="C88" s="40"/>
      <c r="D88" s="41"/>
      <c r="M88" s="8"/>
      <c r="N88" s="8"/>
    </row>
    <row r="89" spans="1:14" x14ac:dyDescent="0.2">
      <c r="A89" s="21"/>
    </row>
    <row r="90" spans="1:14" x14ac:dyDescent="0.2">
      <c r="A90" s="21"/>
    </row>
    <row r="92" spans="1:14" x14ac:dyDescent="0.2">
      <c r="C92" s="22"/>
    </row>
    <row r="94" spans="1:14" x14ac:dyDescent="0.2">
      <c r="C94" s="7"/>
    </row>
  </sheetData>
  <sheetProtection password="CC5B" sheet="1" objects="1" scenarios="1"/>
  <mergeCells count="33">
    <mergeCell ref="B82:B83"/>
    <mergeCell ref="C82:C83"/>
    <mergeCell ref="B19:B20"/>
    <mergeCell ref="C19:C20"/>
    <mergeCell ref="B24:B25"/>
    <mergeCell ref="C24:C25"/>
    <mergeCell ref="B29:B30"/>
    <mergeCell ref="C29:C30"/>
    <mergeCell ref="B31:B32"/>
    <mergeCell ref="C31:C32"/>
    <mergeCell ref="B37:B38"/>
    <mergeCell ref="C37:C38"/>
    <mergeCell ref="B41:B42"/>
    <mergeCell ref="C41:C42"/>
    <mergeCell ref="B49:B50"/>
    <mergeCell ref="C49:C50"/>
    <mergeCell ref="A8:H8"/>
    <mergeCell ref="A9:H9"/>
    <mergeCell ref="C3:G3"/>
    <mergeCell ref="A4:E5"/>
    <mergeCell ref="F4:H4"/>
    <mergeCell ref="F5:H5"/>
    <mergeCell ref="A6:E6"/>
    <mergeCell ref="F6:H7"/>
    <mergeCell ref="A7:E7"/>
    <mergeCell ref="B71:B72"/>
    <mergeCell ref="C71:C72"/>
    <mergeCell ref="B53:B54"/>
    <mergeCell ref="C53:C54"/>
    <mergeCell ref="B61:B63"/>
    <mergeCell ref="C61:C63"/>
    <mergeCell ref="B67:B68"/>
    <mergeCell ref="C67:C68"/>
  </mergeCells>
  <pageMargins left="0.7" right="0.7" top="0.75" bottom="0.75" header="0.3" footer="0.3"/>
  <pageSetup scale="54" orientation="landscape" r:id="rId1"/>
  <rowBreaks count="1" manualBreakCount="1">
    <brk id="43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topLeftCell="A19" zoomScale="130" zoomScaleNormal="130" zoomScaleSheetLayoutView="130" workbookViewId="0">
      <selection activeCell="I24" sqref="I24"/>
    </sheetView>
  </sheetViews>
  <sheetFormatPr defaultRowHeight="13.5" x14ac:dyDescent="0.2"/>
  <cols>
    <col min="1" max="1" width="3.85546875" style="10" customWidth="1"/>
    <col min="2" max="2" width="10" style="49" customWidth="1"/>
    <col min="3" max="3" width="53.7109375" style="21" customWidth="1"/>
    <col min="4" max="4" width="11.5703125" style="1" customWidth="1"/>
    <col min="5" max="5" width="10.42578125" style="21" customWidth="1"/>
    <col min="6" max="6" width="11.85546875" style="21" customWidth="1"/>
    <col min="7" max="7" width="12.42578125" style="21" customWidth="1"/>
    <col min="8" max="8" width="32" style="21" customWidth="1"/>
    <col min="9" max="9" width="21.42578125" style="30" customWidth="1"/>
    <col min="10" max="10" width="20.85546875" style="8" customWidth="1"/>
    <col min="11" max="16384" width="9.140625" style="21"/>
  </cols>
  <sheetData>
    <row r="1" spans="1:10" ht="18" customHeight="1" x14ac:dyDescent="0.2"/>
    <row r="2" spans="1:10" ht="13.5" customHeight="1" x14ac:dyDescent="0.2">
      <c r="B2" s="21"/>
      <c r="H2" s="16" t="s">
        <v>137</v>
      </c>
      <c r="J2" s="21"/>
    </row>
    <row r="3" spans="1:10" ht="14.25" customHeight="1" x14ac:dyDescent="0.2">
      <c r="B3" s="21"/>
      <c r="C3" s="96" t="s">
        <v>84</v>
      </c>
      <c r="D3" s="96"/>
      <c r="E3" s="96"/>
      <c r="F3" s="96"/>
      <c r="G3" s="96"/>
      <c r="J3" s="21"/>
    </row>
    <row r="4" spans="1:10" ht="18.75" customHeight="1" x14ac:dyDescent="0.2">
      <c r="A4" s="70" t="s">
        <v>138</v>
      </c>
      <c r="B4" s="71"/>
      <c r="C4" s="71"/>
      <c r="D4" s="71"/>
      <c r="E4" s="72"/>
      <c r="F4" s="82" t="s">
        <v>7</v>
      </c>
      <c r="G4" s="83"/>
      <c r="H4" s="84"/>
      <c r="J4" s="21"/>
    </row>
    <row r="5" spans="1:10" ht="18" customHeight="1" x14ac:dyDescent="0.2">
      <c r="A5" s="78"/>
      <c r="B5" s="79"/>
      <c r="C5" s="79"/>
      <c r="D5" s="79"/>
      <c r="E5" s="80"/>
      <c r="F5" s="85">
        <v>204578581</v>
      </c>
      <c r="G5" s="86"/>
      <c r="H5" s="87"/>
      <c r="J5" s="21"/>
    </row>
    <row r="6" spans="1:10" ht="19.5" customHeight="1" x14ac:dyDescent="0.2">
      <c r="A6" s="70" t="s">
        <v>8</v>
      </c>
      <c r="B6" s="71"/>
      <c r="C6" s="71"/>
      <c r="D6" s="71"/>
      <c r="E6" s="72"/>
      <c r="F6" s="70" t="s">
        <v>85</v>
      </c>
      <c r="G6" s="97"/>
      <c r="H6" s="98"/>
      <c r="J6" s="21"/>
    </row>
    <row r="7" spans="1:10" ht="29.25" customHeight="1" x14ac:dyDescent="0.2">
      <c r="A7" s="85" t="s">
        <v>19</v>
      </c>
      <c r="B7" s="86"/>
      <c r="C7" s="86"/>
      <c r="D7" s="86"/>
      <c r="E7" s="87"/>
      <c r="F7" s="99"/>
      <c r="G7" s="100"/>
      <c r="H7" s="101"/>
      <c r="J7" s="21"/>
    </row>
    <row r="8" spans="1:10" ht="17.25" customHeight="1" x14ac:dyDescent="0.2">
      <c r="A8" s="70" t="s">
        <v>14</v>
      </c>
      <c r="B8" s="71"/>
      <c r="C8" s="71"/>
      <c r="D8" s="71"/>
      <c r="E8" s="71"/>
      <c r="F8" s="71"/>
      <c r="G8" s="71"/>
      <c r="H8" s="72"/>
      <c r="J8" s="21"/>
    </row>
    <row r="9" spans="1:10" s="30" customFormat="1" ht="15.75" customHeight="1" x14ac:dyDescent="0.2">
      <c r="A9" s="102">
        <f>95000+89000</f>
        <v>184000</v>
      </c>
      <c r="B9" s="103"/>
      <c r="C9" s="103"/>
      <c r="D9" s="103"/>
      <c r="E9" s="103"/>
      <c r="F9" s="103"/>
      <c r="G9" s="103"/>
      <c r="H9" s="103"/>
      <c r="J9" s="8"/>
    </row>
    <row r="10" spans="1:10" s="30" customFormat="1" ht="63.75" x14ac:dyDescent="0.2">
      <c r="A10" s="48" t="s">
        <v>1</v>
      </c>
      <c r="B10" s="48" t="s">
        <v>2</v>
      </c>
      <c r="C10" s="48" t="s">
        <v>3</v>
      </c>
      <c r="D10" s="17" t="s">
        <v>36</v>
      </c>
      <c r="E10" s="48" t="s">
        <v>4</v>
      </c>
      <c r="F10" s="48" t="s">
        <v>5</v>
      </c>
      <c r="G10" s="48" t="s">
        <v>6</v>
      </c>
      <c r="H10" s="48" t="s">
        <v>0</v>
      </c>
      <c r="J10" s="8"/>
    </row>
    <row r="11" spans="1:10" s="30" customFormat="1" ht="12.75" x14ac:dyDescent="0.2">
      <c r="A11" s="48">
        <v>1</v>
      </c>
      <c r="B11" s="48">
        <v>2</v>
      </c>
      <c r="C11" s="48">
        <v>3</v>
      </c>
      <c r="D11" s="12">
        <v>4</v>
      </c>
      <c r="E11" s="48">
        <v>5</v>
      </c>
      <c r="F11" s="48">
        <v>6</v>
      </c>
      <c r="G11" s="48">
        <v>7</v>
      </c>
      <c r="H11" s="48">
        <v>8</v>
      </c>
      <c r="J11" s="8"/>
    </row>
    <row r="12" spans="1:10" ht="32.25" customHeight="1" x14ac:dyDescent="0.2">
      <c r="A12" s="48">
        <v>1</v>
      </c>
      <c r="B12" s="13" t="s">
        <v>32</v>
      </c>
      <c r="C12" s="48" t="s">
        <v>33</v>
      </c>
      <c r="D12" s="12">
        <v>50000</v>
      </c>
      <c r="E12" s="48" t="s">
        <v>13</v>
      </c>
      <c r="F12" s="13" t="s">
        <v>11</v>
      </c>
      <c r="G12" s="13" t="s">
        <v>23</v>
      </c>
      <c r="H12" s="14" t="s">
        <v>12</v>
      </c>
      <c r="I12" s="35"/>
      <c r="J12" s="42"/>
    </row>
    <row r="13" spans="1:10" ht="32.25" customHeight="1" x14ac:dyDescent="0.2">
      <c r="A13" s="48">
        <v>2</v>
      </c>
      <c r="B13" s="13" t="s">
        <v>53</v>
      </c>
      <c r="C13" s="48" t="s">
        <v>54</v>
      </c>
      <c r="D13" s="12">
        <v>4900</v>
      </c>
      <c r="E13" s="48" t="s">
        <v>9</v>
      </c>
      <c r="F13" s="13" t="s">
        <v>11</v>
      </c>
      <c r="G13" s="13" t="s">
        <v>23</v>
      </c>
      <c r="H13" s="14"/>
      <c r="I13" s="35"/>
      <c r="J13" s="42"/>
    </row>
    <row r="14" spans="1:10" ht="34.5" customHeight="1" x14ac:dyDescent="0.2">
      <c r="A14" s="48">
        <v>3</v>
      </c>
      <c r="B14" s="52">
        <v>24300000</v>
      </c>
      <c r="C14" s="48" t="s">
        <v>109</v>
      </c>
      <c r="D14" s="12">
        <v>500</v>
      </c>
      <c r="E14" s="48" t="s">
        <v>9</v>
      </c>
      <c r="F14" s="13" t="s">
        <v>11</v>
      </c>
      <c r="G14" s="13" t="s">
        <v>23</v>
      </c>
      <c r="H14" s="14"/>
      <c r="I14" s="35"/>
      <c r="J14" s="21"/>
    </row>
    <row r="15" spans="1:10" ht="34.5" customHeight="1" x14ac:dyDescent="0.2">
      <c r="A15" s="48">
        <v>4</v>
      </c>
      <c r="B15" s="52">
        <v>24400000</v>
      </c>
      <c r="C15" s="48" t="s">
        <v>64</v>
      </c>
      <c r="D15" s="12">
        <v>1000</v>
      </c>
      <c r="E15" s="48" t="s">
        <v>9</v>
      </c>
      <c r="F15" s="13" t="s">
        <v>11</v>
      </c>
      <c r="G15" s="13" t="s">
        <v>23</v>
      </c>
      <c r="H15" s="14"/>
      <c r="I15" s="35"/>
      <c r="J15" s="21"/>
    </row>
    <row r="16" spans="1:10" ht="34.5" customHeight="1" x14ac:dyDescent="0.2">
      <c r="A16" s="48">
        <v>5</v>
      </c>
      <c r="B16" s="52">
        <v>31600000</v>
      </c>
      <c r="C16" s="48" t="s">
        <v>110</v>
      </c>
      <c r="D16" s="12">
        <v>400</v>
      </c>
      <c r="E16" s="48" t="s">
        <v>9</v>
      </c>
      <c r="F16" s="13" t="s">
        <v>11</v>
      </c>
      <c r="G16" s="13" t="s">
        <v>23</v>
      </c>
      <c r="H16" s="14"/>
      <c r="I16" s="35"/>
      <c r="J16" s="21"/>
    </row>
    <row r="17" spans="1:15" ht="36.75" customHeight="1" x14ac:dyDescent="0.2">
      <c r="A17" s="48">
        <v>6</v>
      </c>
      <c r="B17" s="48">
        <v>33100000</v>
      </c>
      <c r="C17" s="48" t="s">
        <v>111</v>
      </c>
      <c r="D17" s="12">
        <v>2000</v>
      </c>
      <c r="E17" s="48" t="s">
        <v>9</v>
      </c>
      <c r="F17" s="13" t="s">
        <v>11</v>
      </c>
      <c r="G17" s="13" t="s">
        <v>23</v>
      </c>
      <c r="H17" s="14"/>
      <c r="I17" s="35"/>
      <c r="J17" s="42"/>
    </row>
    <row r="18" spans="1:15" ht="34.5" customHeight="1" x14ac:dyDescent="0.2">
      <c r="A18" s="48">
        <v>7</v>
      </c>
      <c r="B18" s="48">
        <v>35600000</v>
      </c>
      <c r="C18" s="48" t="s">
        <v>139</v>
      </c>
      <c r="D18" s="18">
        <v>22000</v>
      </c>
      <c r="E18" s="48" t="s">
        <v>140</v>
      </c>
      <c r="F18" s="13" t="s">
        <v>11</v>
      </c>
      <c r="G18" s="13" t="s">
        <v>23</v>
      </c>
      <c r="H18" s="14"/>
      <c r="I18" s="35"/>
      <c r="J18" s="31"/>
    </row>
    <row r="19" spans="1:15" ht="33" customHeight="1" x14ac:dyDescent="0.2">
      <c r="A19" s="48">
        <v>8</v>
      </c>
      <c r="B19" s="48">
        <v>39200000</v>
      </c>
      <c r="C19" s="48" t="s">
        <v>67</v>
      </c>
      <c r="D19" s="12">
        <v>800</v>
      </c>
      <c r="E19" s="48" t="s">
        <v>9</v>
      </c>
      <c r="F19" s="13" t="s">
        <v>11</v>
      </c>
      <c r="G19" s="13" t="s">
        <v>23</v>
      </c>
      <c r="H19" s="14"/>
      <c r="I19" s="37"/>
      <c r="J19" s="31"/>
    </row>
    <row r="20" spans="1:15" ht="38.25" customHeight="1" x14ac:dyDescent="0.2">
      <c r="A20" s="48">
        <v>9</v>
      </c>
      <c r="B20" s="48">
        <v>39700000</v>
      </c>
      <c r="C20" s="48" t="s">
        <v>117</v>
      </c>
      <c r="D20" s="12">
        <f>2500-460</f>
        <v>2040</v>
      </c>
      <c r="E20" s="48" t="s">
        <v>9</v>
      </c>
      <c r="F20" s="13" t="s">
        <v>11</v>
      </c>
      <c r="G20" s="13" t="s">
        <v>23</v>
      </c>
      <c r="H20" s="14"/>
      <c r="I20" s="35"/>
      <c r="J20" s="42"/>
    </row>
    <row r="21" spans="1:15" ht="38.25" customHeight="1" x14ac:dyDescent="0.2">
      <c r="A21" s="48">
        <v>10</v>
      </c>
      <c r="B21" s="48">
        <v>42600000</v>
      </c>
      <c r="C21" s="48" t="s">
        <v>63</v>
      </c>
      <c r="D21" s="12">
        <v>4900</v>
      </c>
      <c r="E21" s="48" t="s">
        <v>9</v>
      </c>
      <c r="F21" s="13" t="s">
        <v>11</v>
      </c>
      <c r="G21" s="13" t="s">
        <v>23</v>
      </c>
      <c r="H21" s="14"/>
      <c r="I21" s="35"/>
      <c r="J21" s="42"/>
    </row>
    <row r="22" spans="1:15" ht="31.5" customHeight="1" x14ac:dyDescent="0.2">
      <c r="A22" s="48">
        <v>11</v>
      </c>
      <c r="B22" s="48">
        <v>43800000</v>
      </c>
      <c r="C22" s="48" t="s">
        <v>60</v>
      </c>
      <c r="D22" s="12">
        <v>4000</v>
      </c>
      <c r="E22" s="48" t="s">
        <v>9</v>
      </c>
      <c r="F22" s="13" t="s">
        <v>11</v>
      </c>
      <c r="G22" s="13" t="s">
        <v>23</v>
      </c>
      <c r="H22" s="14"/>
      <c r="I22" s="35"/>
    </row>
    <row r="23" spans="1:15" ht="34.5" customHeight="1" x14ac:dyDescent="0.2">
      <c r="A23" s="48">
        <v>12</v>
      </c>
      <c r="B23" s="48">
        <v>44500000</v>
      </c>
      <c r="C23" s="48" t="s">
        <v>59</v>
      </c>
      <c r="D23" s="12">
        <v>460</v>
      </c>
      <c r="E23" s="48" t="s">
        <v>9</v>
      </c>
      <c r="F23" s="13" t="s">
        <v>11</v>
      </c>
      <c r="G23" s="13" t="s">
        <v>23</v>
      </c>
      <c r="H23" s="14"/>
      <c r="I23" s="35"/>
      <c r="J23" s="21"/>
    </row>
    <row r="24" spans="1:15" ht="34.5" customHeight="1" x14ac:dyDescent="0.2">
      <c r="A24" s="48">
        <v>13</v>
      </c>
      <c r="B24" s="48">
        <v>44800000</v>
      </c>
      <c r="C24" s="48" t="s">
        <v>78</v>
      </c>
      <c r="D24" s="12">
        <v>2000</v>
      </c>
      <c r="E24" s="48" t="s">
        <v>9</v>
      </c>
      <c r="F24" s="13" t="s">
        <v>11</v>
      </c>
      <c r="G24" s="13" t="s">
        <v>23</v>
      </c>
      <c r="H24" s="14"/>
      <c r="I24" s="35"/>
      <c r="J24" s="21"/>
    </row>
    <row r="25" spans="1:15" ht="34.5" customHeight="1" x14ac:dyDescent="0.2">
      <c r="A25" s="48">
        <v>14</v>
      </c>
      <c r="B25" s="48">
        <v>45200000</v>
      </c>
      <c r="C25" s="48" t="s">
        <v>47</v>
      </c>
      <c r="D25" s="18">
        <v>89000</v>
      </c>
      <c r="E25" s="48" t="s">
        <v>24</v>
      </c>
      <c r="F25" s="13" t="s">
        <v>87</v>
      </c>
      <c r="G25" s="13" t="s">
        <v>124</v>
      </c>
      <c r="H25" s="14"/>
      <c r="I25" s="35"/>
      <c r="J25" s="21"/>
    </row>
    <row r="26" spans="1:15" x14ac:dyDescent="0.2">
      <c r="D26" s="6"/>
    </row>
    <row r="30" spans="1:15" x14ac:dyDescent="0.2">
      <c r="J30" s="21"/>
      <c r="N30" s="8"/>
      <c r="O30" s="8"/>
    </row>
    <row r="31" spans="1:15" x14ac:dyDescent="0.2">
      <c r="C31" s="24"/>
      <c r="J31" s="21"/>
      <c r="N31" s="8"/>
      <c r="O31" s="8"/>
    </row>
    <row r="32" spans="1:15" x14ac:dyDescent="0.2">
      <c r="C32" s="25"/>
      <c r="E32" s="51"/>
      <c r="J32" s="21"/>
      <c r="N32" s="8"/>
      <c r="O32" s="8"/>
    </row>
    <row r="33" spans="3:15" ht="19.5" customHeight="1" x14ac:dyDescent="0.2">
      <c r="C33" s="26"/>
      <c r="J33" s="21"/>
      <c r="N33" s="8"/>
      <c r="O33" s="8"/>
    </row>
    <row r="34" spans="3:15" x14ac:dyDescent="0.2">
      <c r="J34" s="21"/>
      <c r="N34" s="8"/>
      <c r="O34" s="8"/>
    </row>
    <row r="35" spans="3:15" ht="24.75" customHeight="1" x14ac:dyDescent="0.2">
      <c r="C35" s="22"/>
      <c r="J35" s="21"/>
      <c r="N35" s="8"/>
      <c r="O35" s="8"/>
    </row>
    <row r="36" spans="3:15" ht="22.5" customHeight="1" x14ac:dyDescent="0.2">
      <c r="J36" s="21"/>
      <c r="N36" s="8"/>
      <c r="O36" s="8"/>
    </row>
    <row r="37" spans="3:15" x14ac:dyDescent="0.2">
      <c r="C37" s="7"/>
      <c r="J37" s="21"/>
      <c r="N37" s="8"/>
      <c r="O37" s="8"/>
    </row>
  </sheetData>
  <sheetProtection password="CC5B" sheet="1" objects="1" scenarios="1"/>
  <mergeCells count="9">
    <mergeCell ref="A8:H8"/>
    <mergeCell ref="A9:H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topLeftCell="A11" zoomScale="130" zoomScaleNormal="115" zoomScaleSheetLayoutView="130" workbookViewId="0">
      <selection activeCell="D23" sqref="D23"/>
    </sheetView>
  </sheetViews>
  <sheetFormatPr defaultRowHeight="13.5" x14ac:dyDescent="0.2"/>
  <cols>
    <col min="1" max="1" width="3.85546875" style="10" customWidth="1"/>
    <col min="2" max="2" width="10" style="49" customWidth="1"/>
    <col min="3" max="3" width="53.7109375" style="21" customWidth="1"/>
    <col min="4" max="4" width="11.5703125" style="1" customWidth="1"/>
    <col min="5" max="5" width="10.42578125" style="21" customWidth="1"/>
    <col min="6" max="6" width="11.85546875" style="21" customWidth="1"/>
    <col min="7" max="7" width="10.7109375" style="21" customWidth="1"/>
    <col min="8" max="8" width="32" style="21" customWidth="1"/>
    <col min="9" max="9" width="10" style="30" customWidth="1"/>
    <col min="10" max="10" width="10" style="8" customWidth="1"/>
    <col min="11" max="16384" width="9.140625" style="21"/>
  </cols>
  <sheetData>
    <row r="1" spans="1:10" ht="18" customHeight="1" x14ac:dyDescent="0.2"/>
    <row r="2" spans="1:10" ht="13.5" customHeight="1" x14ac:dyDescent="0.2">
      <c r="B2" s="21"/>
      <c r="H2" s="16" t="s">
        <v>141</v>
      </c>
      <c r="J2" s="21"/>
    </row>
    <row r="3" spans="1:10" ht="20.25" customHeight="1" x14ac:dyDescent="0.2">
      <c r="B3" s="21"/>
      <c r="C3" s="96" t="s">
        <v>84</v>
      </c>
      <c r="D3" s="96"/>
      <c r="E3" s="96"/>
      <c r="F3" s="96"/>
      <c r="G3" s="96"/>
      <c r="J3" s="21"/>
    </row>
    <row r="4" spans="1:10" ht="26.25" customHeight="1" x14ac:dyDescent="0.2">
      <c r="A4" s="70" t="s">
        <v>142</v>
      </c>
      <c r="B4" s="71"/>
      <c r="C4" s="71"/>
      <c r="D4" s="71"/>
      <c r="E4" s="72"/>
      <c r="F4" s="82" t="s">
        <v>7</v>
      </c>
      <c r="G4" s="83"/>
      <c r="H4" s="84"/>
      <c r="J4" s="21"/>
    </row>
    <row r="5" spans="1:10" ht="18.75" customHeight="1" x14ac:dyDescent="0.2">
      <c r="A5" s="78"/>
      <c r="B5" s="79"/>
      <c r="C5" s="79"/>
      <c r="D5" s="79"/>
      <c r="E5" s="80"/>
      <c r="F5" s="85">
        <v>204578581</v>
      </c>
      <c r="G5" s="86"/>
      <c r="H5" s="87"/>
      <c r="J5" s="21"/>
    </row>
    <row r="6" spans="1:10" ht="25.5" customHeight="1" x14ac:dyDescent="0.2">
      <c r="A6" s="70" t="s">
        <v>8</v>
      </c>
      <c r="B6" s="71"/>
      <c r="C6" s="71"/>
      <c r="D6" s="71"/>
      <c r="E6" s="72"/>
      <c r="F6" s="70" t="s">
        <v>143</v>
      </c>
      <c r="G6" s="97"/>
      <c r="H6" s="98"/>
      <c r="J6" s="21"/>
    </row>
    <row r="7" spans="1:10" ht="43.5" customHeight="1" x14ac:dyDescent="0.2">
      <c r="A7" s="85" t="s">
        <v>112</v>
      </c>
      <c r="B7" s="86"/>
      <c r="C7" s="86"/>
      <c r="D7" s="86"/>
      <c r="E7" s="87"/>
      <c r="F7" s="99"/>
      <c r="G7" s="100"/>
      <c r="H7" s="101"/>
      <c r="J7" s="21"/>
    </row>
    <row r="8" spans="1:10" ht="21" customHeight="1" x14ac:dyDescent="0.2">
      <c r="A8" s="70" t="s">
        <v>14</v>
      </c>
      <c r="B8" s="71"/>
      <c r="C8" s="71"/>
      <c r="D8" s="71"/>
      <c r="E8" s="71"/>
      <c r="F8" s="71"/>
      <c r="G8" s="71"/>
      <c r="H8" s="72"/>
      <c r="J8" s="21"/>
    </row>
    <row r="9" spans="1:10" s="30" customFormat="1" ht="15.75" customHeight="1" x14ac:dyDescent="0.2">
      <c r="A9" s="102">
        <v>5191032</v>
      </c>
      <c r="B9" s="103"/>
      <c r="C9" s="103"/>
      <c r="D9" s="103"/>
      <c r="E9" s="103"/>
      <c r="F9" s="103"/>
      <c r="G9" s="103"/>
      <c r="H9" s="103"/>
      <c r="J9" s="8"/>
    </row>
    <row r="10" spans="1:10" s="30" customFormat="1" ht="71.25" customHeight="1" x14ac:dyDescent="0.2">
      <c r="A10" s="48" t="s">
        <v>1</v>
      </c>
      <c r="B10" s="48" t="s">
        <v>2</v>
      </c>
      <c r="C10" s="48" t="s">
        <v>3</v>
      </c>
      <c r="D10" s="17" t="s">
        <v>36</v>
      </c>
      <c r="E10" s="48" t="s">
        <v>4</v>
      </c>
      <c r="F10" s="48" t="s">
        <v>5</v>
      </c>
      <c r="G10" s="48" t="s">
        <v>6</v>
      </c>
      <c r="H10" s="48" t="s">
        <v>0</v>
      </c>
      <c r="J10" s="8"/>
    </row>
    <row r="11" spans="1:10" s="30" customFormat="1" ht="21" customHeight="1" x14ac:dyDescent="0.2">
      <c r="A11" s="48">
        <v>1</v>
      </c>
      <c r="B11" s="48">
        <v>2</v>
      </c>
      <c r="C11" s="48">
        <v>3</v>
      </c>
      <c r="D11" s="12">
        <v>4</v>
      </c>
      <c r="E11" s="48">
        <v>5</v>
      </c>
      <c r="F11" s="48">
        <v>6</v>
      </c>
      <c r="G11" s="48">
        <v>7</v>
      </c>
      <c r="H11" s="48">
        <v>8</v>
      </c>
    </row>
    <row r="12" spans="1:10" s="30" customFormat="1" ht="24.75" customHeight="1" x14ac:dyDescent="0.2">
      <c r="A12" s="48">
        <v>1</v>
      </c>
      <c r="B12" s="48">
        <v>30200000</v>
      </c>
      <c r="C12" s="48" t="s">
        <v>46</v>
      </c>
      <c r="D12" s="61">
        <v>128765</v>
      </c>
      <c r="E12" s="48" t="s">
        <v>24</v>
      </c>
      <c r="F12" s="13" t="s">
        <v>86</v>
      </c>
      <c r="G12" s="13" t="s">
        <v>113</v>
      </c>
      <c r="H12" s="14" t="s">
        <v>144</v>
      </c>
      <c r="J12" s="8"/>
    </row>
    <row r="13" spans="1:10" s="30" customFormat="1" ht="24.75" customHeight="1" x14ac:dyDescent="0.2">
      <c r="A13" s="48">
        <v>2</v>
      </c>
      <c r="B13" s="48">
        <v>34100000</v>
      </c>
      <c r="C13" s="48" t="s">
        <v>45</v>
      </c>
      <c r="D13" s="18">
        <v>2447544</v>
      </c>
      <c r="E13" s="48" t="s">
        <v>24</v>
      </c>
      <c r="F13" s="13" t="s">
        <v>86</v>
      </c>
      <c r="G13" s="13" t="s">
        <v>113</v>
      </c>
      <c r="H13" s="14" t="s">
        <v>144</v>
      </c>
      <c r="J13" s="8"/>
    </row>
    <row r="14" spans="1:10" s="30" customFormat="1" ht="24.75" customHeight="1" x14ac:dyDescent="0.2">
      <c r="A14" s="48">
        <v>3</v>
      </c>
      <c r="B14" s="48">
        <v>35600000</v>
      </c>
      <c r="C14" s="48" t="s">
        <v>145</v>
      </c>
      <c r="D14" s="18">
        <v>13333</v>
      </c>
      <c r="E14" s="48" t="s">
        <v>24</v>
      </c>
      <c r="F14" s="13" t="s">
        <v>86</v>
      </c>
      <c r="G14" s="13" t="s">
        <v>113</v>
      </c>
      <c r="H14" s="14" t="s">
        <v>144</v>
      </c>
      <c r="I14" s="35"/>
      <c r="J14" s="8"/>
    </row>
    <row r="15" spans="1:10" ht="38.25" customHeight="1" x14ac:dyDescent="0.2">
      <c r="A15" s="48">
        <v>4</v>
      </c>
      <c r="B15" s="48">
        <v>38600000</v>
      </c>
      <c r="C15" s="48" t="s">
        <v>116</v>
      </c>
      <c r="D15" s="18">
        <v>9402</v>
      </c>
      <c r="E15" s="48" t="s">
        <v>24</v>
      </c>
      <c r="F15" s="13" t="s">
        <v>86</v>
      </c>
      <c r="G15" s="13" t="s">
        <v>113</v>
      </c>
      <c r="H15" s="14" t="s">
        <v>144</v>
      </c>
      <c r="J15" s="21"/>
    </row>
    <row r="16" spans="1:10" ht="13.5" customHeight="1" x14ac:dyDescent="0.2">
      <c r="A16" s="48">
        <v>5</v>
      </c>
      <c r="B16" s="48">
        <v>39100000</v>
      </c>
      <c r="C16" s="48" t="s">
        <v>10</v>
      </c>
      <c r="D16" s="18">
        <v>9000</v>
      </c>
      <c r="E16" s="48" t="s">
        <v>24</v>
      </c>
      <c r="F16" s="13" t="s">
        <v>86</v>
      </c>
      <c r="G16" s="13" t="s">
        <v>113</v>
      </c>
      <c r="H16" s="14" t="s">
        <v>144</v>
      </c>
      <c r="J16" s="21"/>
    </row>
    <row r="17" spans="1:15" ht="37.5" customHeight="1" x14ac:dyDescent="0.2">
      <c r="A17" s="48">
        <v>6</v>
      </c>
      <c r="B17" s="48">
        <v>43200000</v>
      </c>
      <c r="C17" s="48" t="s">
        <v>146</v>
      </c>
      <c r="D17" s="18">
        <v>359400</v>
      </c>
      <c r="E17" s="48" t="s">
        <v>9</v>
      </c>
      <c r="F17" s="13" t="s">
        <v>86</v>
      </c>
      <c r="G17" s="13" t="s">
        <v>113</v>
      </c>
      <c r="H17" s="14" t="s">
        <v>147</v>
      </c>
      <c r="J17" s="21"/>
    </row>
    <row r="18" spans="1:15" ht="38.25" x14ac:dyDescent="0.2">
      <c r="A18" s="48">
        <v>7</v>
      </c>
      <c r="B18" s="48">
        <v>50100000</v>
      </c>
      <c r="C18" s="48" t="s">
        <v>21</v>
      </c>
      <c r="D18" s="12">
        <v>30000</v>
      </c>
      <c r="E18" s="48" t="s">
        <v>13</v>
      </c>
      <c r="F18" s="13" t="s">
        <v>86</v>
      </c>
      <c r="G18" s="13" t="s">
        <v>113</v>
      </c>
      <c r="H18" s="14" t="s">
        <v>12</v>
      </c>
      <c r="J18" s="21"/>
    </row>
    <row r="19" spans="1:15" ht="21.75" customHeight="1" x14ac:dyDescent="0.2">
      <c r="A19" s="48">
        <v>8</v>
      </c>
      <c r="B19" s="48">
        <v>55100000</v>
      </c>
      <c r="C19" s="48" t="s">
        <v>148</v>
      </c>
      <c r="D19" s="12">
        <v>17700</v>
      </c>
      <c r="E19" s="48" t="s">
        <v>24</v>
      </c>
      <c r="F19" s="13" t="s">
        <v>86</v>
      </c>
      <c r="G19" s="13" t="s">
        <v>113</v>
      </c>
      <c r="H19" s="14" t="s">
        <v>144</v>
      </c>
      <c r="J19" s="21"/>
    </row>
    <row r="20" spans="1:15" ht="13.5" customHeight="1" x14ac:dyDescent="0.2">
      <c r="A20" s="48">
        <v>9</v>
      </c>
      <c r="B20" s="48">
        <v>55300000</v>
      </c>
      <c r="C20" s="48" t="s">
        <v>128</v>
      </c>
      <c r="D20" s="12">
        <v>16950</v>
      </c>
      <c r="E20" s="48" t="s">
        <v>9</v>
      </c>
      <c r="F20" s="13" t="s">
        <v>86</v>
      </c>
      <c r="G20" s="13" t="s">
        <v>113</v>
      </c>
      <c r="H20" s="14" t="s">
        <v>69</v>
      </c>
      <c r="J20" s="21"/>
    </row>
    <row r="21" spans="1:15" x14ac:dyDescent="0.2">
      <c r="A21" s="48">
        <v>10</v>
      </c>
      <c r="B21" s="48">
        <v>60100000</v>
      </c>
      <c r="C21" s="48" t="s">
        <v>118</v>
      </c>
      <c r="D21" s="12">
        <v>4800</v>
      </c>
      <c r="E21" s="48" t="s">
        <v>9</v>
      </c>
      <c r="F21" s="13" t="s">
        <v>86</v>
      </c>
      <c r="G21" s="13" t="s">
        <v>113</v>
      </c>
      <c r="H21" s="14"/>
      <c r="J21" s="21"/>
    </row>
    <row r="22" spans="1:15" x14ac:dyDescent="0.2">
      <c r="A22" s="48">
        <v>11</v>
      </c>
      <c r="B22" s="48">
        <v>77200000</v>
      </c>
      <c r="C22" s="48" t="s">
        <v>25</v>
      </c>
      <c r="D22" s="12">
        <v>1481238</v>
      </c>
      <c r="E22" s="48" t="s">
        <v>24</v>
      </c>
      <c r="F22" s="13" t="s">
        <v>86</v>
      </c>
      <c r="G22" s="13" t="s">
        <v>113</v>
      </c>
      <c r="H22" s="14" t="s">
        <v>149</v>
      </c>
    </row>
    <row r="23" spans="1:15" ht="38.25" customHeight="1" x14ac:dyDescent="0.2">
      <c r="A23" s="48">
        <v>12</v>
      </c>
      <c r="B23" s="48">
        <v>79200000</v>
      </c>
      <c r="C23" s="48" t="s">
        <v>150</v>
      </c>
      <c r="D23" s="12">
        <v>24000</v>
      </c>
      <c r="E23" s="48" t="s">
        <v>24</v>
      </c>
      <c r="F23" s="13" t="s">
        <v>86</v>
      </c>
      <c r="G23" s="13" t="s">
        <v>113</v>
      </c>
      <c r="H23" s="14" t="s">
        <v>144</v>
      </c>
      <c r="J23" s="21"/>
    </row>
    <row r="24" spans="1:15" ht="13.5" customHeight="1" x14ac:dyDescent="0.2">
      <c r="A24" s="48">
        <v>13</v>
      </c>
      <c r="B24" s="48">
        <v>79400000</v>
      </c>
      <c r="C24" s="48" t="s">
        <v>130</v>
      </c>
      <c r="D24" s="12">
        <v>484200</v>
      </c>
      <c r="E24" s="48" t="s">
        <v>24</v>
      </c>
      <c r="F24" s="13" t="s">
        <v>86</v>
      </c>
      <c r="G24" s="13" t="s">
        <v>113</v>
      </c>
      <c r="H24" s="14" t="s">
        <v>144</v>
      </c>
      <c r="J24" s="21"/>
    </row>
    <row r="25" spans="1:15" ht="37.5" customHeight="1" x14ac:dyDescent="0.2">
      <c r="A25" s="48">
        <v>14</v>
      </c>
      <c r="B25" s="48">
        <v>79500000</v>
      </c>
      <c r="C25" s="48" t="s">
        <v>98</v>
      </c>
      <c r="D25" s="12">
        <v>30000</v>
      </c>
      <c r="E25" s="48" t="s">
        <v>24</v>
      </c>
      <c r="F25" s="13" t="s">
        <v>86</v>
      </c>
      <c r="G25" s="13" t="s">
        <v>113</v>
      </c>
      <c r="H25" s="14" t="s">
        <v>144</v>
      </c>
      <c r="J25" s="21"/>
    </row>
    <row r="26" spans="1:15" x14ac:dyDescent="0.2">
      <c r="A26" s="48">
        <v>15</v>
      </c>
      <c r="B26" s="48">
        <v>80500000</v>
      </c>
      <c r="C26" s="48" t="s">
        <v>90</v>
      </c>
      <c r="D26" s="12">
        <v>134700</v>
      </c>
      <c r="E26" s="48" t="s">
        <v>24</v>
      </c>
      <c r="F26" s="13" t="s">
        <v>86</v>
      </c>
      <c r="G26" s="13" t="s">
        <v>113</v>
      </c>
      <c r="H26" s="14" t="s">
        <v>144</v>
      </c>
      <c r="J26" s="21"/>
    </row>
    <row r="27" spans="1:15" ht="21.75" customHeight="1" x14ac:dyDescent="0.2">
      <c r="A27" s="62"/>
      <c r="B27" s="63"/>
      <c r="C27" s="64"/>
      <c r="D27" s="65"/>
      <c r="E27" s="66"/>
      <c r="F27" s="2"/>
      <c r="G27" s="2"/>
      <c r="H27" s="67"/>
      <c r="J27" s="21"/>
    </row>
    <row r="28" spans="1:15" ht="13.5" customHeight="1" x14ac:dyDescent="0.2">
      <c r="A28" s="62"/>
      <c r="B28" s="3"/>
      <c r="C28" s="4"/>
      <c r="D28" s="65"/>
      <c r="E28" s="68"/>
      <c r="F28" s="2"/>
      <c r="G28" s="2"/>
      <c r="H28" s="5"/>
      <c r="J28" s="21"/>
    </row>
    <row r="29" spans="1:15" ht="19.5" customHeight="1" x14ac:dyDescent="0.2">
      <c r="J29" s="21"/>
      <c r="N29" s="8"/>
      <c r="O29" s="8"/>
    </row>
    <row r="30" spans="1:15" x14ac:dyDescent="0.2">
      <c r="J30" s="21"/>
      <c r="N30" s="8"/>
      <c r="O30" s="8"/>
    </row>
    <row r="31" spans="1:15" ht="24.75" customHeight="1" x14ac:dyDescent="0.2">
      <c r="J31" s="21"/>
      <c r="N31" s="8"/>
      <c r="O31" s="8"/>
    </row>
    <row r="32" spans="1:15" ht="22.5" customHeight="1" x14ac:dyDescent="0.2">
      <c r="J32" s="21"/>
      <c r="N32" s="8"/>
      <c r="O32" s="8"/>
    </row>
    <row r="33" spans="3:15" x14ac:dyDescent="0.2">
      <c r="C33" s="24"/>
      <c r="J33" s="21"/>
      <c r="N33" s="8"/>
      <c r="O33" s="8"/>
    </row>
    <row r="34" spans="3:15" x14ac:dyDescent="0.2">
      <c r="C34" s="25"/>
      <c r="E34" s="51"/>
    </row>
    <row r="35" spans="3:15" x14ac:dyDescent="0.2">
      <c r="C35" s="26"/>
    </row>
    <row r="37" spans="3:15" x14ac:dyDescent="0.2">
      <c r="C37" s="22"/>
    </row>
    <row r="39" spans="3:15" x14ac:dyDescent="0.2">
      <c r="C39" s="7"/>
    </row>
  </sheetData>
  <sheetProtection password="CC5B" sheet="1" objects="1" scenarios="1"/>
  <mergeCells count="9">
    <mergeCell ref="A8:H8"/>
    <mergeCell ref="A9:H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130" zoomScaleNormal="120" zoomScaleSheetLayoutView="130" workbookViewId="0">
      <selection activeCell="A4" sqref="A4:E5"/>
    </sheetView>
  </sheetViews>
  <sheetFormatPr defaultRowHeight="13.5" x14ac:dyDescent="0.2"/>
  <cols>
    <col min="1" max="1" width="3.85546875" style="10" customWidth="1"/>
    <col min="2" max="2" width="10" style="49" customWidth="1"/>
    <col min="3" max="3" width="53.7109375" style="21" customWidth="1"/>
    <col min="4" max="4" width="11.5703125" style="1" customWidth="1"/>
    <col min="5" max="5" width="10.42578125" style="21" customWidth="1"/>
    <col min="6" max="6" width="11.85546875" style="21" customWidth="1"/>
    <col min="7" max="7" width="10.7109375" style="21" customWidth="1"/>
    <col min="8" max="8" width="32" style="21" customWidth="1"/>
    <col min="9" max="9" width="10" style="30" customWidth="1"/>
    <col min="10" max="10" width="10" style="8" customWidth="1"/>
    <col min="11" max="16384" width="9.140625" style="21"/>
  </cols>
  <sheetData>
    <row r="1" spans="1:10" ht="18" customHeight="1" x14ac:dyDescent="0.2"/>
    <row r="2" spans="1:10" ht="13.5" customHeight="1" x14ac:dyDescent="0.2">
      <c r="B2" s="21"/>
      <c r="H2" s="16" t="s">
        <v>151</v>
      </c>
      <c r="J2" s="21"/>
    </row>
    <row r="3" spans="1:10" ht="20.25" customHeight="1" x14ac:dyDescent="0.2">
      <c r="B3" s="21"/>
      <c r="C3" s="96" t="s">
        <v>84</v>
      </c>
      <c r="D3" s="96"/>
      <c r="E3" s="96"/>
      <c r="F3" s="96"/>
      <c r="G3" s="96"/>
      <c r="J3" s="21"/>
    </row>
    <row r="4" spans="1:10" ht="26.25" customHeight="1" x14ac:dyDescent="0.2">
      <c r="A4" s="70" t="s">
        <v>152</v>
      </c>
      <c r="B4" s="71"/>
      <c r="C4" s="71"/>
      <c r="D4" s="71"/>
      <c r="E4" s="72"/>
      <c r="F4" s="82" t="s">
        <v>7</v>
      </c>
      <c r="G4" s="83"/>
      <c r="H4" s="84"/>
      <c r="J4" s="21"/>
    </row>
    <row r="5" spans="1:10" ht="18.75" customHeight="1" x14ac:dyDescent="0.2">
      <c r="A5" s="78"/>
      <c r="B5" s="79"/>
      <c r="C5" s="79"/>
      <c r="D5" s="79"/>
      <c r="E5" s="80"/>
      <c r="F5" s="85">
        <v>204578581</v>
      </c>
      <c r="G5" s="86"/>
      <c r="H5" s="87"/>
      <c r="J5" s="21"/>
    </row>
    <row r="6" spans="1:10" ht="25.5" customHeight="1" x14ac:dyDescent="0.2">
      <c r="A6" s="70" t="s">
        <v>8</v>
      </c>
      <c r="B6" s="71"/>
      <c r="C6" s="71"/>
      <c r="D6" s="71"/>
      <c r="E6" s="72"/>
      <c r="F6" s="70" t="s">
        <v>153</v>
      </c>
      <c r="G6" s="97"/>
      <c r="H6" s="98"/>
      <c r="J6" s="21"/>
    </row>
    <row r="7" spans="1:10" ht="43.5" customHeight="1" x14ac:dyDescent="0.2">
      <c r="A7" s="85" t="s">
        <v>112</v>
      </c>
      <c r="B7" s="86"/>
      <c r="C7" s="86"/>
      <c r="D7" s="86"/>
      <c r="E7" s="87"/>
      <c r="F7" s="99"/>
      <c r="G7" s="100"/>
      <c r="H7" s="101"/>
      <c r="J7" s="21"/>
    </row>
    <row r="8" spans="1:10" ht="21" customHeight="1" x14ac:dyDescent="0.2">
      <c r="A8" s="70" t="s">
        <v>14</v>
      </c>
      <c r="B8" s="71"/>
      <c r="C8" s="71"/>
      <c r="D8" s="71"/>
      <c r="E8" s="71"/>
      <c r="F8" s="71"/>
      <c r="G8" s="71"/>
      <c r="H8" s="72"/>
      <c r="J8" s="21"/>
    </row>
    <row r="9" spans="1:10" s="30" customFormat="1" ht="15.75" customHeight="1" x14ac:dyDescent="0.2">
      <c r="A9" s="104">
        <f>80000+4593.5</f>
        <v>84593.5</v>
      </c>
      <c r="B9" s="105"/>
      <c r="C9" s="105"/>
      <c r="D9" s="105"/>
      <c r="E9" s="105"/>
      <c r="F9" s="105"/>
      <c r="G9" s="105"/>
      <c r="H9" s="105"/>
      <c r="J9" s="8"/>
    </row>
    <row r="10" spans="1:10" s="30" customFormat="1" ht="71.25" customHeight="1" x14ac:dyDescent="0.2">
      <c r="A10" s="48" t="s">
        <v>1</v>
      </c>
      <c r="B10" s="48" t="s">
        <v>2</v>
      </c>
      <c r="C10" s="48" t="s">
        <v>3</v>
      </c>
      <c r="D10" s="17" t="s">
        <v>36</v>
      </c>
      <c r="E10" s="48" t="s">
        <v>4</v>
      </c>
      <c r="F10" s="48" t="s">
        <v>5</v>
      </c>
      <c r="G10" s="48" t="s">
        <v>6</v>
      </c>
      <c r="H10" s="48" t="s">
        <v>0</v>
      </c>
      <c r="J10" s="8"/>
    </row>
    <row r="11" spans="1:10" s="30" customFormat="1" ht="15" customHeight="1" x14ac:dyDescent="0.2">
      <c r="A11" s="48">
        <v>1</v>
      </c>
      <c r="B11" s="48">
        <v>2</v>
      </c>
      <c r="C11" s="48">
        <v>3</v>
      </c>
      <c r="D11" s="12">
        <v>4</v>
      </c>
      <c r="E11" s="48">
        <v>5</v>
      </c>
      <c r="F11" s="48">
        <v>6</v>
      </c>
      <c r="G11" s="48">
        <v>7</v>
      </c>
      <c r="H11" s="48">
        <v>8</v>
      </c>
    </row>
    <row r="12" spans="1:10" s="30" customFormat="1" ht="21.75" customHeight="1" x14ac:dyDescent="0.2">
      <c r="A12" s="48">
        <v>1</v>
      </c>
      <c r="B12" s="13" t="s">
        <v>154</v>
      </c>
      <c r="C12" s="48" t="s">
        <v>155</v>
      </c>
      <c r="D12" s="45">
        <f>80000-3500</f>
        <v>76500</v>
      </c>
      <c r="E12" s="48" t="s">
        <v>24</v>
      </c>
      <c r="F12" s="13" t="s">
        <v>87</v>
      </c>
      <c r="G12" s="13" t="s">
        <v>124</v>
      </c>
      <c r="H12" s="14"/>
      <c r="J12" s="8"/>
    </row>
    <row r="13" spans="1:10" s="30" customFormat="1" ht="23.25" customHeight="1" x14ac:dyDescent="0.2">
      <c r="A13" s="48">
        <v>2</v>
      </c>
      <c r="B13" s="13" t="s">
        <v>156</v>
      </c>
      <c r="C13" s="48" t="s">
        <v>39</v>
      </c>
      <c r="D13" s="34">
        <v>3338.5</v>
      </c>
      <c r="E13" s="48" t="s">
        <v>9</v>
      </c>
      <c r="F13" s="13" t="s">
        <v>86</v>
      </c>
      <c r="G13" s="13" t="s">
        <v>113</v>
      </c>
      <c r="H13" s="14"/>
      <c r="J13" s="8"/>
    </row>
    <row r="14" spans="1:10" s="30" customFormat="1" ht="25.5" customHeight="1" x14ac:dyDescent="0.2">
      <c r="A14" s="48">
        <v>3</v>
      </c>
      <c r="B14" s="13" t="s">
        <v>157</v>
      </c>
      <c r="C14" s="48" t="s">
        <v>148</v>
      </c>
      <c r="D14" s="34">
        <v>4755</v>
      </c>
      <c r="E14" s="48" t="s">
        <v>9</v>
      </c>
      <c r="F14" s="13" t="s">
        <v>86</v>
      </c>
      <c r="G14" s="13" t="s">
        <v>113</v>
      </c>
      <c r="H14" s="14" t="s">
        <v>69</v>
      </c>
      <c r="I14" s="35"/>
      <c r="J14" s="8"/>
    </row>
    <row r="15" spans="1:10" x14ac:dyDescent="0.2">
      <c r="C15" s="22"/>
    </row>
    <row r="17" spans="3:15" x14ac:dyDescent="0.2">
      <c r="C17" s="7"/>
    </row>
    <row r="18" spans="3:15" x14ac:dyDescent="0.2">
      <c r="J18" s="21"/>
      <c r="N18" s="8"/>
      <c r="O18" s="8"/>
    </row>
    <row r="19" spans="3:15" x14ac:dyDescent="0.2">
      <c r="J19" s="21"/>
      <c r="N19" s="8"/>
      <c r="O19" s="8"/>
    </row>
    <row r="20" spans="3:15" x14ac:dyDescent="0.2">
      <c r="J20" s="21"/>
      <c r="N20" s="8"/>
      <c r="O20" s="8"/>
    </row>
    <row r="21" spans="3:15" ht="19.5" customHeight="1" x14ac:dyDescent="0.2">
      <c r="J21" s="21"/>
      <c r="N21" s="8"/>
      <c r="O21" s="8"/>
    </row>
    <row r="22" spans="3:15" x14ac:dyDescent="0.2">
      <c r="J22" s="21"/>
      <c r="N22" s="8"/>
      <c r="O22" s="8"/>
    </row>
    <row r="23" spans="3:15" ht="24.75" customHeight="1" x14ac:dyDescent="0.2">
      <c r="J23" s="21"/>
      <c r="N23" s="8"/>
      <c r="O23" s="8"/>
    </row>
    <row r="24" spans="3:15" ht="22.5" customHeight="1" x14ac:dyDescent="0.2">
      <c r="J24" s="21"/>
      <c r="N24" s="8"/>
      <c r="O24" s="8"/>
    </row>
    <row r="25" spans="3:15" x14ac:dyDescent="0.2">
      <c r="J25" s="21"/>
      <c r="N25" s="8"/>
      <c r="O25" s="8"/>
    </row>
  </sheetData>
  <sheetProtection password="CC5B" sheet="1" objects="1" scenarios="1"/>
  <mergeCells count="9">
    <mergeCell ref="A8:H8"/>
    <mergeCell ref="A9:H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56" orientation="landscape" r:id="rId1"/>
  <colBreaks count="1" manualBreakCount="1">
    <brk id="9" max="1048575" man="1"/>
  </colBreaks>
  <ignoredErrors>
    <ignoredError sqref="B13:B1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topLeftCell="A10" zoomScale="130" zoomScaleNormal="120" zoomScaleSheetLayoutView="130" workbookViewId="0">
      <selection activeCell="A7" sqref="A7:E7"/>
    </sheetView>
  </sheetViews>
  <sheetFormatPr defaultRowHeight="13.5" x14ac:dyDescent="0.2"/>
  <cols>
    <col min="1" max="1" width="3.85546875" style="10" customWidth="1"/>
    <col min="2" max="2" width="10" style="57" customWidth="1"/>
    <col min="3" max="3" width="53.7109375" style="21" customWidth="1"/>
    <col min="4" max="4" width="11.5703125" style="1" customWidth="1"/>
    <col min="5" max="5" width="10.42578125" style="21" customWidth="1"/>
    <col min="6" max="6" width="11.85546875" style="21" customWidth="1"/>
    <col min="7" max="7" width="10.7109375" style="21" customWidth="1"/>
    <col min="8" max="8" width="32" style="21" customWidth="1"/>
    <col min="9" max="9" width="10" style="57" customWidth="1"/>
    <col min="10" max="10" width="10" style="8" customWidth="1"/>
    <col min="11" max="16384" width="9.140625" style="21"/>
  </cols>
  <sheetData>
    <row r="1" spans="1:10" ht="18" customHeight="1" x14ac:dyDescent="0.2"/>
    <row r="2" spans="1:10" ht="13.5" customHeight="1" x14ac:dyDescent="0.2">
      <c r="B2" s="21"/>
      <c r="H2" s="16" t="s">
        <v>158</v>
      </c>
      <c r="J2" s="21"/>
    </row>
    <row r="3" spans="1:10" ht="20.25" customHeight="1" x14ac:dyDescent="0.2">
      <c r="B3" s="21"/>
      <c r="C3" s="96" t="s">
        <v>84</v>
      </c>
      <c r="D3" s="96"/>
      <c r="E3" s="96"/>
      <c r="F3" s="96"/>
      <c r="G3" s="96"/>
      <c r="J3" s="21"/>
    </row>
    <row r="4" spans="1:10" ht="26.25" customHeight="1" x14ac:dyDescent="0.2">
      <c r="A4" s="70" t="s">
        <v>159</v>
      </c>
      <c r="B4" s="71"/>
      <c r="C4" s="71"/>
      <c r="D4" s="71"/>
      <c r="E4" s="72"/>
      <c r="F4" s="82" t="s">
        <v>7</v>
      </c>
      <c r="G4" s="83"/>
      <c r="H4" s="84"/>
      <c r="J4" s="21"/>
    </row>
    <row r="5" spans="1:10" ht="18.75" customHeight="1" x14ac:dyDescent="0.2">
      <c r="A5" s="78"/>
      <c r="B5" s="79"/>
      <c r="C5" s="79"/>
      <c r="D5" s="79"/>
      <c r="E5" s="80"/>
      <c r="F5" s="85">
        <v>204578581</v>
      </c>
      <c r="G5" s="86"/>
      <c r="H5" s="87"/>
      <c r="J5" s="21"/>
    </row>
    <row r="6" spans="1:10" ht="25.5" customHeight="1" x14ac:dyDescent="0.2">
      <c r="A6" s="70" t="s">
        <v>8</v>
      </c>
      <c r="B6" s="71"/>
      <c r="C6" s="71"/>
      <c r="D6" s="71"/>
      <c r="E6" s="72"/>
      <c r="F6" s="70" t="s">
        <v>160</v>
      </c>
      <c r="G6" s="97"/>
      <c r="H6" s="98"/>
      <c r="J6" s="21"/>
    </row>
    <row r="7" spans="1:10" ht="43.5" customHeight="1" x14ac:dyDescent="0.2">
      <c r="A7" s="85" t="s">
        <v>112</v>
      </c>
      <c r="B7" s="86"/>
      <c r="C7" s="86"/>
      <c r="D7" s="86"/>
      <c r="E7" s="87"/>
      <c r="F7" s="99"/>
      <c r="G7" s="100"/>
      <c r="H7" s="101"/>
      <c r="J7" s="21"/>
    </row>
    <row r="8" spans="1:10" ht="21" customHeight="1" x14ac:dyDescent="0.2">
      <c r="A8" s="70" t="s">
        <v>14</v>
      </c>
      <c r="B8" s="71"/>
      <c r="C8" s="71"/>
      <c r="D8" s="71"/>
      <c r="E8" s="71"/>
      <c r="F8" s="71"/>
      <c r="G8" s="71"/>
      <c r="H8" s="72"/>
      <c r="J8" s="21"/>
    </row>
    <row r="9" spans="1:10" s="57" customFormat="1" ht="15.75" customHeight="1" x14ac:dyDescent="0.2">
      <c r="A9" s="102">
        <v>1835000</v>
      </c>
      <c r="B9" s="103"/>
      <c r="C9" s="103"/>
      <c r="D9" s="103"/>
      <c r="E9" s="103"/>
      <c r="F9" s="103"/>
      <c r="G9" s="103"/>
      <c r="H9" s="103"/>
      <c r="J9" s="8"/>
    </row>
    <row r="10" spans="1:10" s="57" customFormat="1" ht="71.25" customHeight="1" x14ac:dyDescent="0.2">
      <c r="A10" s="55" t="s">
        <v>1</v>
      </c>
      <c r="B10" s="55" t="s">
        <v>2</v>
      </c>
      <c r="C10" s="55" t="s">
        <v>3</v>
      </c>
      <c r="D10" s="17" t="s">
        <v>36</v>
      </c>
      <c r="E10" s="55" t="s">
        <v>4</v>
      </c>
      <c r="F10" s="55" t="s">
        <v>5</v>
      </c>
      <c r="G10" s="55" t="s">
        <v>6</v>
      </c>
      <c r="H10" s="55" t="s">
        <v>0</v>
      </c>
      <c r="J10" s="8"/>
    </row>
    <row r="11" spans="1:10" s="57" customFormat="1" ht="15" customHeight="1" x14ac:dyDescent="0.2">
      <c r="A11" s="55">
        <v>1</v>
      </c>
      <c r="B11" s="55">
        <v>2</v>
      </c>
      <c r="C11" s="55">
        <v>3</v>
      </c>
      <c r="D11" s="12">
        <v>4</v>
      </c>
      <c r="E11" s="55">
        <v>5</v>
      </c>
      <c r="F11" s="55">
        <v>6</v>
      </c>
      <c r="G11" s="55">
        <v>7</v>
      </c>
      <c r="H11" s="55">
        <v>8</v>
      </c>
    </row>
    <row r="12" spans="1:10" s="57" customFormat="1" ht="21.75" customHeight="1" x14ac:dyDescent="0.2">
      <c r="A12" s="55">
        <v>1</v>
      </c>
      <c r="B12" s="13" t="s">
        <v>161</v>
      </c>
      <c r="C12" s="55" t="s">
        <v>135</v>
      </c>
      <c r="D12" s="18">
        <f>30000-18170</f>
        <v>11830</v>
      </c>
      <c r="E12" s="55" t="s">
        <v>24</v>
      </c>
      <c r="F12" s="13" t="s">
        <v>86</v>
      </c>
      <c r="G12" s="13" t="s">
        <v>113</v>
      </c>
      <c r="H12" s="14"/>
      <c r="J12" s="8"/>
    </row>
    <row r="13" spans="1:10" s="57" customFormat="1" ht="23.25" customHeight="1" x14ac:dyDescent="0.2">
      <c r="A13" s="55">
        <v>2</v>
      </c>
      <c r="B13" s="13" t="s">
        <v>162</v>
      </c>
      <c r="C13" s="55" t="s">
        <v>102</v>
      </c>
      <c r="D13" s="18">
        <v>35970</v>
      </c>
      <c r="E13" s="55" t="s">
        <v>24</v>
      </c>
      <c r="F13" s="13" t="s">
        <v>86</v>
      </c>
      <c r="G13" s="13" t="s">
        <v>113</v>
      </c>
      <c r="H13" s="14"/>
      <c r="J13" s="8"/>
    </row>
    <row r="14" spans="1:10" s="57" customFormat="1" ht="25.5" customHeight="1" x14ac:dyDescent="0.2">
      <c r="A14" s="55">
        <v>3</v>
      </c>
      <c r="B14" s="13" t="s">
        <v>163</v>
      </c>
      <c r="C14" s="55" t="s">
        <v>45</v>
      </c>
      <c r="D14" s="18">
        <f>1150000-100000</f>
        <v>1050000</v>
      </c>
      <c r="E14" s="55" t="s">
        <v>24</v>
      </c>
      <c r="F14" s="13" t="s">
        <v>86</v>
      </c>
      <c r="G14" s="13" t="s">
        <v>113</v>
      </c>
      <c r="H14" s="14"/>
      <c r="I14" s="35"/>
      <c r="J14" s="8"/>
    </row>
    <row r="15" spans="1:10" s="28" customFormat="1" ht="36.75" customHeight="1" x14ac:dyDescent="0.2">
      <c r="A15" s="55">
        <v>4</v>
      </c>
      <c r="B15" s="106" t="s">
        <v>164</v>
      </c>
      <c r="C15" s="76" t="s">
        <v>65</v>
      </c>
      <c r="D15" s="18">
        <f>20000+100000</f>
        <v>120000</v>
      </c>
      <c r="E15" s="55" t="s">
        <v>24</v>
      </c>
      <c r="F15" s="13" t="s">
        <v>86</v>
      </c>
      <c r="G15" s="13" t="s">
        <v>113</v>
      </c>
      <c r="H15" s="14"/>
      <c r="I15" s="35"/>
      <c r="J15" s="47"/>
    </row>
    <row r="16" spans="1:10" s="28" customFormat="1" ht="36.75" customHeight="1" x14ac:dyDescent="0.2">
      <c r="A16" s="55">
        <v>5</v>
      </c>
      <c r="B16" s="107"/>
      <c r="C16" s="77"/>
      <c r="D16" s="12">
        <v>170000</v>
      </c>
      <c r="E16" s="55" t="s">
        <v>24</v>
      </c>
      <c r="F16" s="13" t="s">
        <v>86</v>
      </c>
      <c r="G16" s="13" t="s">
        <v>113</v>
      </c>
      <c r="H16" s="14"/>
      <c r="I16" s="35"/>
      <c r="J16" s="47"/>
    </row>
    <row r="17" spans="1:15" s="28" customFormat="1" ht="36.75" customHeight="1" x14ac:dyDescent="0.2">
      <c r="A17" s="55">
        <v>6</v>
      </c>
      <c r="B17" s="13" t="s">
        <v>165</v>
      </c>
      <c r="C17" s="55" t="s">
        <v>146</v>
      </c>
      <c r="D17" s="18">
        <f>200000-17800</f>
        <v>182200</v>
      </c>
      <c r="E17" s="55" t="s">
        <v>24</v>
      </c>
      <c r="F17" s="13" t="s">
        <v>86</v>
      </c>
      <c r="G17" s="13" t="s">
        <v>113</v>
      </c>
      <c r="H17" s="14"/>
      <c r="I17" s="35"/>
      <c r="J17" s="47"/>
    </row>
    <row r="18" spans="1:15" s="28" customFormat="1" ht="36.75" customHeight="1" x14ac:dyDescent="0.2">
      <c r="A18" s="55">
        <v>7</v>
      </c>
      <c r="B18" s="13" t="s">
        <v>166</v>
      </c>
      <c r="C18" s="55" t="s">
        <v>47</v>
      </c>
      <c r="D18" s="18">
        <v>265000</v>
      </c>
      <c r="E18" s="55" t="s">
        <v>24</v>
      </c>
      <c r="F18" s="13" t="s">
        <v>86</v>
      </c>
      <c r="G18" s="13" t="s">
        <v>113</v>
      </c>
      <c r="H18" s="14"/>
      <c r="I18" s="35"/>
      <c r="J18" s="47"/>
    </row>
    <row r="19" spans="1:15" s="28" customFormat="1" ht="39.75" customHeight="1" x14ac:dyDescent="0.2">
      <c r="A19" s="62"/>
      <c r="B19" s="63"/>
      <c r="C19" s="64"/>
      <c r="D19" s="65"/>
      <c r="E19" s="66"/>
      <c r="F19" s="2"/>
      <c r="G19" s="2"/>
      <c r="H19" s="67"/>
      <c r="I19" s="35"/>
      <c r="J19" s="47"/>
    </row>
    <row r="20" spans="1:15" ht="19.5" customHeight="1" x14ac:dyDescent="0.2">
      <c r="J20" s="21"/>
      <c r="N20" s="8"/>
      <c r="O20" s="8"/>
    </row>
    <row r="21" spans="1:15" x14ac:dyDescent="0.2">
      <c r="J21" s="21"/>
      <c r="N21" s="8"/>
      <c r="O21" s="8"/>
    </row>
    <row r="22" spans="1:15" ht="24.75" customHeight="1" x14ac:dyDescent="0.2">
      <c r="J22" s="21"/>
      <c r="N22" s="8"/>
      <c r="O22" s="8"/>
    </row>
    <row r="23" spans="1:15" ht="22.5" customHeight="1" x14ac:dyDescent="0.2">
      <c r="C23" s="24"/>
      <c r="J23" s="21"/>
      <c r="N23" s="8"/>
      <c r="O23" s="8"/>
    </row>
    <row r="24" spans="1:15" x14ac:dyDescent="0.2">
      <c r="C24" s="25"/>
      <c r="E24" s="56"/>
      <c r="J24" s="21"/>
      <c r="N24" s="8"/>
      <c r="O24" s="8"/>
    </row>
    <row r="25" spans="1:15" x14ac:dyDescent="0.2">
      <c r="C25" s="26"/>
    </row>
    <row r="27" spans="1:15" x14ac:dyDescent="0.2">
      <c r="C27" s="22"/>
    </row>
    <row r="29" spans="1:15" x14ac:dyDescent="0.2">
      <c r="C29" s="7"/>
    </row>
  </sheetData>
  <sheetProtection password="CC5B" sheet="1" objects="1" scenarios="1"/>
  <mergeCells count="11">
    <mergeCell ref="B15:B16"/>
    <mergeCell ref="C15:C16"/>
    <mergeCell ref="A8:H8"/>
    <mergeCell ref="A9:H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56" orientation="landscape" r:id="rId1"/>
  <colBreaks count="1" manualBreakCount="1">
    <brk id="9" max="1048575" man="1"/>
  </colBreaks>
  <ignoredErrors>
    <ignoredError sqref="B12:B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სახელმწიფო ბიუჯეტი</vt:lpstr>
      <vt:lpstr>საკუთარი სახსრები</vt:lpstr>
      <vt:lpstr>გრანტი - N1254</vt:lpstr>
      <vt:lpstr>გრანტი - N2471</vt:lpstr>
      <vt:lpstr>გრანტი - N2019-N2486</vt:lpstr>
      <vt:lpstr>გრანტი - N2600</vt:lpstr>
      <vt:lpstr>'გრანტი - N1254'!Print_Area</vt:lpstr>
      <vt:lpstr>'გრანტი - N2019-N2486'!Print_Area</vt:lpstr>
      <vt:lpstr>'გრანტი - N2471'!Print_Area</vt:lpstr>
      <vt:lpstr>'გრანტი - N2600'!Print_Area</vt:lpstr>
      <vt:lpstr>'საკუთარი სახსრები'!Print_Area</vt:lpstr>
      <vt:lpstr>'სახელმწიფო ბიუჯეტი'!Print_Area</vt:lpstr>
    </vt:vector>
  </TitlesOfParts>
  <Company>SPD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BUBU</cp:lastModifiedBy>
  <cp:lastPrinted>2021-07-15T11:13:19Z</cp:lastPrinted>
  <dcterms:created xsi:type="dcterms:W3CDTF">2001-03-27T09:30:29Z</dcterms:created>
  <dcterms:modified xsi:type="dcterms:W3CDTF">2023-03-06T08:39:41Z</dcterms:modified>
</cp:coreProperties>
</file>