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5\ბაზები - 2025\პროაქტიული ინფორმაცია - 2025\2025 წელი\"/>
    </mc:Choice>
  </mc:AlternateContent>
  <xr:revisionPtr revIDLastSave="0" documentId="13_ncr:1_{A8D652AB-49FF-4B81-B483-423A0B89D80A}" xr6:coauthVersionLast="47" xr6:coauthVersionMax="47" xr10:uidLastSave="{00000000-0000-0000-0000-000000000000}"/>
  <bookViews>
    <workbookView xWindow="-120" yWindow="-120" windowWidth="29040" windowHeight="15720" tabRatio="575" xr2:uid="{00000000-000D-0000-FFFF-FFFF00000000}"/>
  </bookViews>
  <sheets>
    <sheet name="გეგმა ბიუჯეტი" sheetId="145" r:id="rId1"/>
    <sheet name="გეგმა საკუთარი" sheetId="146" r:id="rId2"/>
    <sheet name="გრანტი  (GIZ) (GCF)      " sheetId="148" r:id="rId3"/>
    <sheet name="გრანტი (BTC Co)" sheetId="147" r:id="rId4"/>
  </sheets>
  <definedNames>
    <definedName name="_xlnm.Print_Area" localSheetId="0">'გეგმა ბიუჯეტი'!$A$1:$H$117</definedName>
  </definedNames>
  <calcPr calcId="191029"/>
</workbook>
</file>

<file path=xl/calcChain.xml><?xml version="1.0" encoding="utf-8"?>
<calcChain xmlns="http://schemas.openxmlformats.org/spreadsheetml/2006/main">
  <c r="D126" i="146" l="1"/>
  <c r="D125" i="146"/>
  <c r="D123" i="146"/>
  <c r="D122" i="146"/>
  <c r="D121" i="146"/>
  <c r="D119" i="146"/>
  <c r="D117" i="146"/>
  <c r="D113" i="146"/>
  <c r="D112" i="146"/>
  <c r="D111" i="146"/>
  <c r="D108" i="146"/>
  <c r="D100" i="146"/>
  <c r="D99" i="146"/>
  <c r="D96" i="146"/>
  <c r="D92" i="146"/>
  <c r="D89" i="146"/>
  <c r="D88" i="146"/>
  <c r="D87" i="146"/>
  <c r="D86" i="146"/>
  <c r="D84" i="146"/>
  <c r="D83" i="146"/>
  <c r="D80" i="146"/>
  <c r="D78" i="146"/>
  <c r="D77" i="146"/>
  <c r="D76" i="146"/>
  <c r="D75" i="146"/>
  <c r="D74" i="146"/>
  <c r="D73" i="146"/>
  <c r="D71" i="146"/>
  <c r="D69" i="146"/>
  <c r="D68" i="146"/>
  <c r="D66" i="146"/>
  <c r="D63" i="146"/>
  <c r="D62" i="146"/>
  <c r="D61" i="146"/>
  <c r="D58" i="146"/>
  <c r="D57" i="146"/>
  <c r="D55" i="146"/>
  <c r="D54" i="146"/>
  <c r="D51" i="146"/>
  <c r="D50" i="146"/>
  <c r="D49" i="146"/>
  <c r="D48" i="146"/>
  <c r="D42" i="146"/>
  <c r="D41" i="146"/>
  <c r="D40" i="146"/>
  <c r="D38" i="146"/>
  <c r="D37" i="146"/>
  <c r="D36" i="146"/>
  <c r="D33" i="146"/>
  <c r="D29" i="146"/>
  <c r="D24" i="146"/>
  <c r="D23" i="146"/>
  <c r="D22" i="146"/>
  <c r="D21" i="146"/>
  <c r="D19" i="146"/>
  <c r="D13" i="146"/>
  <c r="D12" i="146"/>
  <c r="A9" i="146"/>
  <c r="D114" i="145" l="1"/>
  <c r="D113" i="145"/>
  <c r="D112" i="145"/>
  <c r="D111" i="145"/>
  <c r="D110" i="145"/>
  <c r="D108" i="145"/>
  <c r="D105" i="145"/>
  <c r="D103" i="145"/>
  <c r="D101" i="145"/>
  <c r="D99" i="145"/>
  <c r="D96" i="145"/>
  <c r="D95" i="145"/>
  <c r="D94" i="145"/>
  <c r="D92" i="145"/>
  <c r="D91" i="145"/>
  <c r="D88" i="145"/>
  <c r="D86" i="145"/>
  <c r="D84" i="145"/>
  <c r="D83" i="145"/>
  <c r="D82" i="145"/>
  <c r="D81" i="145"/>
  <c r="D79" i="145"/>
  <c r="D77" i="145"/>
  <c r="D76" i="145"/>
  <c r="D75" i="145"/>
  <c r="D74" i="145"/>
  <c r="D73" i="145"/>
  <c r="D72" i="145"/>
  <c r="D71" i="145"/>
  <c r="D70" i="145"/>
  <c r="D69" i="145"/>
  <c r="D66" i="145"/>
  <c r="D65" i="145"/>
  <c r="D64" i="145"/>
  <c r="D62" i="145"/>
  <c r="D61" i="145"/>
  <c r="D56" i="145"/>
  <c r="D55" i="145"/>
  <c r="D54" i="145"/>
  <c r="D48" i="145"/>
  <c r="D47" i="145"/>
  <c r="D43" i="145"/>
  <c r="D42" i="145"/>
  <c r="D39" i="145"/>
  <c r="D38" i="145"/>
  <c r="D37" i="145"/>
  <c r="D35" i="145"/>
  <c r="D32" i="145"/>
  <c r="D30" i="145"/>
  <c r="D28" i="145"/>
  <c r="D27" i="145"/>
  <c r="D26" i="145"/>
  <c r="D25" i="145"/>
  <c r="D24" i="145"/>
  <c r="D22" i="145"/>
  <c r="D20" i="145"/>
  <c r="D19" i="145"/>
  <c r="D18" i="145"/>
  <c r="D17" i="145"/>
  <c r="D16" i="145"/>
  <c r="D15" i="145"/>
  <c r="D14" i="145"/>
  <c r="D13" i="145"/>
  <c r="D12" i="145"/>
  <c r="A9" i="145"/>
  <c r="D36" i="148" l="1"/>
  <c r="D35" i="148"/>
  <c r="D33" i="148"/>
  <c r="D32" i="148"/>
  <c r="D26" i="148"/>
  <c r="D17" i="148"/>
  <c r="D15" i="148"/>
  <c r="A9" i="148"/>
  <c r="D15" i="147"/>
  <c r="D14" i="147"/>
  <c r="D12" i="147"/>
  <c r="A9" i="147" s="1"/>
</calcChain>
</file>

<file path=xl/sharedStrings.xml><?xml version="1.0" encoding="utf-8"?>
<sst xmlns="http://schemas.openxmlformats.org/spreadsheetml/2006/main" count="1084" uniqueCount="167">
  <si>
    <t xml:space="preserve">              danarTi #2</t>
  </si>
  <si>
    <t xml:space="preserve">             saxelmwifo Sesyidvebis wliuri gegmis forma</t>
  </si>
  <si>
    <t>2. Semsyidveli organizaciis saidentifikacio kodi</t>
  </si>
  <si>
    <t>3. Semsyidveli organizaciis dasaxeleba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</si>
  <si>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</si>
  <si>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ssip erovnuli satyeo saagento</t>
  </si>
  <si>
    <t>5. saxelmwifo Sesyidvebis gegmiT gaTvaliswinebuli jamuri Tanxa dafinansebis wyaros Sesabamisad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</si>
  <si>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</si>
  <si>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</si>
  <si>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</si>
  <si>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</si>
  <si>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</si>
  <si>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</si>
  <si>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</si>
  <si>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SeniSvna</t>
  </si>
  <si>
    <t>091 00000</t>
  </si>
  <si>
    <t xml:space="preserve">sawvavi  </t>
  </si>
  <si>
    <t>k.t</t>
  </si>
  <si>
    <t>I kv</t>
  </si>
  <si>
    <t>I-IV kv</t>
  </si>
  <si>
    <t>konsolidirebuli tenderi</t>
  </si>
  <si>
    <t>092 00000</t>
  </si>
  <si>
    <t>navTobi, qvanaxSiri da navTobproduqtebi</t>
  </si>
  <si>
    <t>g.S</t>
  </si>
  <si>
    <t>qviSa da Tixa</t>
  </si>
  <si>
    <t>II kv</t>
  </si>
  <si>
    <t>II-IV kv</t>
  </si>
  <si>
    <t>sxvadasxva sakvebi produqtebi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</si>
  <si>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</si>
  <si>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sasmelebi, Tambaqo da monaTesave produqtebi</t>
  </si>
  <si>
    <t>tansacmeli</t>
  </si>
  <si>
    <t>specialuri tansacmeli da aqsesuarebi</t>
  </si>
  <si>
    <t>e.t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</si>
  <si>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"b" qvepunqti</t>
    </r>
  </si>
  <si>
    <t>samkaulebi, saaTebi da monaTesave nivTebi</t>
  </si>
  <si>
    <t>markebi, Cekebis wignakebi, banknotebi, aqciebi, sareklamo masala, katalogebi  da saxelmZRvaneloebi</t>
  </si>
  <si>
    <t>sasuqebi da nitrogenuli naerTebi</t>
  </si>
  <si>
    <t xml:space="preserve">saofise manqana-danadgarebi, aRWurviloba da sakancelario nivTebi, kompiuterebis, printerebisa da avejis garda </t>
  </si>
  <si>
    <t>kompiuteruli mowyobilobebi da aqsesuarebi</t>
  </si>
  <si>
    <t>eleqtroZravebi, generatorebi da transformatorebi</t>
  </si>
  <si>
    <t xml:space="preserve">akumulatorebi, denis pirveladi wyaroebi da pirveladi elementebi </t>
  </si>
  <si>
    <t>gasanaTebeli mowyobilobebi da eleqtronaTurebi</t>
  </si>
  <si>
    <t>radiotelefoniis, radiosatelegrafo, radio da telemauwyeblobis aparatura</t>
  </si>
  <si>
    <t>tele da radiosignalis mimRebebi da audio an videogamosaxulebis Camweri an aRwarmoebis aparatura</t>
  </si>
  <si>
    <t>qselebi</t>
  </si>
  <si>
    <t>satelekomunikacio mowyobilobebi da aqsesuarebi</t>
  </si>
  <si>
    <t>samedicino mowyobilobebi</t>
  </si>
  <si>
    <t>avtosatransporto saualebebi</t>
  </si>
  <si>
    <t>nawilebi da aqsesuarebi satransporto saSualebebisa da maTi ZravebisTvis</t>
  </si>
  <si>
    <t>sxvadasxva satransporto mowyobiloba da saTadarigo nawilebi</t>
  </si>
  <si>
    <t xml:space="preserve">sagangebo situaciebis dros gamosayenebeli mowyobilobebi da usafrTxoebis saSualebebi </t>
  </si>
  <si>
    <t>optikuri xelsawyoebi</t>
  </si>
  <si>
    <t>aveji</t>
  </si>
  <si>
    <t>avejis aqsesuarebi</t>
  </si>
  <si>
    <t>amwe da gadasazidi mowyobilobebi da maTi nawilebi</t>
  </si>
  <si>
    <t>gamagrilebeli da saventilacio mowyobilobebi</t>
  </si>
  <si>
    <t>Carxebi</t>
  </si>
  <si>
    <t>sxvadasxva zogadi da specialuri daniSnulebis manqana-danadgarebi</t>
  </si>
  <si>
    <t xml:space="preserve">samSeneblo masalebi da damxmare samSeneblo masalebi </t>
  </si>
  <si>
    <t>struqturuli masalebi</t>
  </si>
  <si>
    <t>kabelebi, mavTulebi da maTTan dakavSirebuli masalebi</t>
  </si>
  <si>
    <t>sxvadasxva qarxnuli warmoebis masala da maTTan dakavSirebuli sagnebi</t>
  </si>
  <si>
    <t>xelsawyoebi, saketebi, gasaRebebi, anjamebi, damWerebi, Wajvebi da zambarebi/resorebi</t>
  </si>
  <si>
    <t>saRebavebi, laqebi da mastikebi</t>
  </si>
  <si>
    <t>mTliani an nawilobrivi samSeneblo samuSaoebi da samoqalaqo mSeneblobis samuSaoebi</t>
  </si>
  <si>
    <t>samSeneblo-samontaJo samuSaoebi</t>
  </si>
  <si>
    <t>Senobis dasrulebis samuSaoebi</t>
  </si>
  <si>
    <t>qselebis, internetisa da intranetis programuli paketebi</t>
  </si>
  <si>
    <t>monacemTa bazisa da operaciuli programuli paketebi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</si>
  <si>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</si>
  <si>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</si>
  <si>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</si>
  <si>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avtomanqanebis recxva</t>
  </si>
  <si>
    <t xml:space="preserve">personaluri kompiuterebis, saofise aparaturis, satelekomunikacio da audiovizualuri mowyobilobebis SekeTeba, teqnikuri momsaxureba da maTTan dakavSirebuli momsaxurebebi </t>
  </si>
  <si>
    <t>tumboebis, sarqvelebis, onkanebisa da liTonis konteinerebis, aseve, manqana-danadgarebis SekeTeba da teqnikuri momsaxureba</t>
  </si>
  <si>
    <t>Senobis mowyobilobebis SekeTeba da teqnikuri momsaxureba</t>
  </si>
  <si>
    <t xml:space="preserve">restornebisa da kvebis sawarmoebis momsaxureobebi </t>
  </si>
  <si>
    <t>saavtomobilo transportis momsaxurebebi</t>
  </si>
  <si>
    <t xml:space="preserve">tvirTis gadazidvisa da Senaxvis momsaxurebebi </t>
  </si>
  <si>
    <t>saxmeleTo, wylisa da sahaero transportis damxmare momsaxurebebi</t>
  </si>
  <si>
    <t>safosto da sakuriero momsaxurebebi</t>
  </si>
  <si>
    <t xml:space="preserve">satelekomunikacio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</si>
  <si>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</si>
  <si>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kanonis  me-10¹ muxlis me-3 punqtis "z" qvepunqti</t>
  </si>
  <si>
    <t>sadazRvevo da sapensio momsaxurebebi</t>
  </si>
  <si>
    <t xml:space="preserve">programuli uzrunvelyofis SemuSaveba da sakonsultacio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</si>
  <si>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</si>
  <si>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 xml:space="preserve">internetmomsaxurebebi </t>
  </si>
  <si>
    <t>Gg.S</t>
  </si>
  <si>
    <t>administraciuli momsaxureba</t>
  </si>
  <si>
    <t>WaburRilis koSkuris ganTavsebasTan dakavSirebuli momsaxurebebi</t>
  </si>
  <si>
    <t>satyeo meurneobasTan dakavSirebuli momsaxurbebi</t>
  </si>
  <si>
    <t>gamoZiebasa da usafrTxoebasTan dakavSirebuli momsaxurebebi</t>
  </si>
  <si>
    <t>sxvadasxva komerciuli momsaxureba da masTan dakavSirebuli momsaxurebebi</t>
  </si>
  <si>
    <t>satreningo momsaxurebebi</t>
  </si>
  <si>
    <t>dasufTaveba da sanitariuli momsaxureba</t>
  </si>
  <si>
    <t>kino da videomomsaxurebebi</t>
  </si>
  <si>
    <t>IV kv</t>
  </si>
  <si>
    <t>radio da satelevizio momsaxurebebi</t>
  </si>
  <si>
    <t>axali ambebis saagentoebis momsaxurebebi</t>
  </si>
  <si>
    <t>biblioTekebis, arqivebis, muzeumebisa da sxva kulturuli dawesebulebebis momsaxurebebi</t>
  </si>
  <si>
    <t xml:space="preserve">finansuri departamentis, Sesyidvebis sammarTvelos ufrosi                                                                                        </t>
  </si>
  <si>
    <t>(xelmowera)</t>
  </si>
  <si>
    <t>saagentos ufrosi an uflebamosili piri</t>
  </si>
  <si>
    <t xml:space="preserve">               danarTi #1</t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</si>
  <si>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</si>
  <si>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034 00000</t>
  </si>
  <si>
    <t>metyeveobisa da tyekafvis produqtebi</t>
  </si>
  <si>
    <t>09200000</t>
  </si>
  <si>
    <t>traqtorebi</t>
  </si>
  <si>
    <t>samuSao tansacmeli, spectansacmeli da aqsesuarebi</t>
  </si>
  <si>
    <t>garedan Casacmeli tansacmeli</t>
  </si>
  <si>
    <t>fexsacmeli</t>
  </si>
  <si>
    <t>sabargo nivTebi, sasarajo nakeTobebi, tomrebi da CanTebi</t>
  </si>
  <si>
    <t>teqstilis narTi da Zafi</t>
  </si>
  <si>
    <t>tyavis, teqstilis, rezinisa da plastmasis narCeni</t>
  </si>
  <si>
    <t>nabeWdi wignebi, broSurebi da sainformacio furclebi</t>
  </si>
  <si>
    <t xml:space="preserve">qaRaldis an muyaos saregistracio Jurnalebi/wignebi, sabuRaltro wignebi, formebi da sxva nabeWdi sakancelario nivTebi </t>
  </si>
  <si>
    <t xml:space="preserve"> sxvadasxva nabeWdi masala</t>
  </si>
  <si>
    <t xml:space="preserve"> sufTa qimikatebi da sxvadasxva qimiuri nivTierebebis produqtebi</t>
  </si>
  <si>
    <t>eleqtroenergiis gamanawilebeli da sakontrolo aparatura</t>
  </si>
  <si>
    <t>izolirebuli mavTuli da kabeli</t>
  </si>
  <si>
    <t>eleqtromowyobilobebi da aparatura</t>
  </si>
  <si>
    <t>individualuri da damxmare mowyobilobebi</t>
  </si>
  <si>
    <t>qsovilis nivTebi</t>
  </si>
  <si>
    <t>saojaxo teqnika</t>
  </si>
  <si>
    <t>sawmendi da saprialebeli produqcia</t>
  </si>
  <si>
    <t>bunebrivi wyali</t>
  </si>
  <si>
    <t>danadgarebi meqanikuri energiis warmoebisa da gamoyenebisTvis</t>
  </si>
  <si>
    <t>saamqros danadgarebi</t>
  </si>
  <si>
    <t>saqmiani garigebebisa da piradi saqmeebis marTvis programuli paketebi</t>
  </si>
  <si>
    <t xml:space="preserve"> sxvadasxva saxis saremonto (SesakeTebeli) samuSaoebi da teqnikuri momsaxureba</t>
  </si>
  <si>
    <t>wylis ganawileba da masTan dakavSirebuli momsaxurebebi</t>
  </si>
  <si>
    <t>arqiteqturuli da masTan dakavSirebuli momsaxurebebi</t>
  </si>
  <si>
    <t>teqnikuri Semowmeba, analizi da sakonsultacio momsaxurebebi</t>
  </si>
  <si>
    <t>mebaRCeobasTan dakavSirebuli momsaxurebebi</t>
  </si>
  <si>
    <t xml:space="preserve"> bazris kvleva da ekonomikuri kvleva; gamokiTxvebi da statistika</t>
  </si>
  <si>
    <t>biznessa da menejmentTan dakavSirebuli konsultaciebi da momsaxurebebi</t>
  </si>
  <si>
    <t>ofisis muSaobis uzrunvelyofasTan dakavSirebuli momsaxurebebi</t>
  </si>
  <si>
    <t>Camdinare wylebTan dakavSirebuli momsaxurebebi</t>
  </si>
  <si>
    <t xml:space="preserve">finansuri departamentis, Sesyidvebis sammarTvelos ufrosi                                                                                     </t>
  </si>
  <si>
    <t xml:space="preserve">                  danarTi #3</t>
  </si>
  <si>
    <t xml:space="preserve">             saxelmwifo Sesyidvebis wliuri gegmis forma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</si>
  <si>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</si>
  <si>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</si>
  <si>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</si>
  <si>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t xml:space="preserve">                  danarTi #4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</si>
  <si>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noemberi 2024 weli (2025 wlis gegma)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</si>
  <si>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</si>
  <si>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</si>
  <si>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III kv</t>
  </si>
  <si>
    <t>III-IV kv</t>
  </si>
  <si>
    <t>sastumros momsaxureba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</si>
  <si>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</si>
  <si>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</si>
  <si>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</si>
  <si>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</si>
  <si>
    <t>TviTmfrinavebi (sahaero xomaldebi) da kosmosuri xomaldebi</t>
  </si>
  <si>
    <t>sportuli saqoneli da aRWurviloba - (inventari)</t>
  </si>
  <si>
    <t>sanavigacio da meteorologiuri xelsawyoebi</t>
  </si>
  <si>
    <t>eleqtroenergiis ganawileba da masTan dakavSirebuli momsaxurebebi</t>
  </si>
  <si>
    <t>sainJinro momsaxurebebi</t>
  </si>
  <si>
    <t>mSeneblobasTan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</si>
  <si>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20 noemberi 2025 weli</t>
    </r>
  </si>
  <si>
    <t>bazris kvleva da ekonomikuri kvleva; gamokiTxvebi da statistika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</si>
  <si>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20 noemberi 2025 weli</t>
    </r>
  </si>
  <si>
    <t>fizikuri maxasiaTeblebis kontrolis xelsawyoebi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</si>
</sst>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34" x14ac:knownFonts="1">
    <font>
      <sz val="10"/>
      <name val="Arial"/>
      <charset val="204"/>
    </font>
    <font>
      <b/>
      <sz val="10"/>
      <name val="AcadNusx"/>
    </font>
    <font>
      <sz val="10"/>
      <name val="AcadNusx"/>
    </font>
    <font>
      <sz val="9"/>
      <name val="AcadNusx"/>
    </font>
    <font>
      <sz val="8"/>
      <name val="AcadNusx"/>
    </font>
    <font>
      <b/>
      <sz val="8"/>
      <name val="AcadNusx"/>
    </font>
    <font>
      <sz val="10"/>
      <name val="Arial"/>
      <family val="2"/>
    </font>
    <font>
      <b/>
      <sz val="10"/>
      <color rgb="FFFF0000"/>
      <name val="AcadNusx"/>
    </font>
    <font>
      <sz val="7"/>
      <name val="AcadNusx"/>
    </font>
    <font>
      <b/>
      <i/>
      <sz val="9"/>
      <name val="AcadNusx"/>
    </font>
    <font>
      <sz val="10"/>
      <color rgb="FFFF0000"/>
      <name val="AcadNusx"/>
    </font>
    <font>
      <b/>
      <sz val="9"/>
      <name val="AcadNusx"/>
    </font>
    <font>
      <sz val="9"/>
      <name val="Arial"/>
      <family val="2"/>
    </font>
    <font>
      <sz val="8"/>
      <color rgb="FFFF0000"/>
      <name val="AcadNusx"/>
    </font>
    <font>
      <sz val="7"/>
      <name val="Calibri"/>
      <family val="2"/>
      <charset val="204"/>
    </font>
    <font>
      <b/>
      <sz val="9"/>
      <color rgb="FFFF0000"/>
      <name val="AcadNusx"/>
    </font>
    <font>
      <sz val="9"/>
      <color rgb="FFFF0000"/>
      <name val="AcadNusx"/>
    </font>
    <font>
      <b/>
      <sz val="9"/>
      <color rgb="FF00B050"/>
      <name val="AcadNusx"/>
    </font>
    <font>
      <sz val="10"/>
      <color rgb="FF00B050"/>
      <name val="AcadNusx"/>
    </font>
    <font>
      <b/>
      <sz val="12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sz val="8"/>
      <name val="Times New Roman"/>
      <family val="1"/>
      <charset val="204"/>
    </font>
    <font>
      <b/>
      <sz val="9"/>
      <name val="Times New Roman"/>
      <family val="1"/>
    </font>
    <font>
      <b/>
      <sz val="7"/>
      <color rgb="FF0070C0"/>
      <name val="AcadNusx"/>
    </font>
    <font>
      <sz val="6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  <font>
      <sz val="6"/>
      <color rgb="FFFF0000"/>
      <name val="AcadNusx"/>
    </font>
    <font>
      <b/>
      <sz val="7"/>
      <color rgb="FFFF0000"/>
      <name val="AcadNusx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22" fillId="0" borderId="8" xfId="1" applyNumberFormat="1" applyFont="1" applyFill="1" applyBorder="1" applyAlignment="1">
      <alignment horizontal="center" vertical="center" wrapText="1"/>
    </xf>
    <xf numFmtId="1" fontId="20" fillId="0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19" fillId="0" borderId="0" xfId="1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3" fillId="0" borderId="8" xfId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/>
    </xf>
    <xf numFmtId="2" fontId="3" fillId="0" borderId="8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1" fontId="1" fillId="0" borderId="0" xfId="1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15" fillId="0" borderId="8" xfId="1" applyNumberFormat="1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" fontId="1" fillId="0" borderId="7" xfId="1" applyNumberFormat="1" applyFont="1" applyFill="1" applyBorder="1" applyAlignment="1">
      <alignment horizontal="center" vertical="center" wrapText="1"/>
    </xf>
    <xf numFmtId="1" fontId="2" fillId="0" borderId="7" xfId="1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105</xdr:row>
      <xdr:rowOff>0</xdr:rowOff>
    </xdr:from>
    <xdr:to>
      <xdr:col>5</xdr:col>
      <xdr:colOff>981075</xdr:colOff>
      <xdr:row>105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629150" y="429196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108</xdr:row>
      <xdr:rowOff>9525</xdr:rowOff>
    </xdr:from>
    <xdr:to>
      <xdr:col>5</xdr:col>
      <xdr:colOff>981075</xdr:colOff>
      <xdr:row>108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4629150" y="4369117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105</xdr:row>
      <xdr:rowOff>9525</xdr:rowOff>
    </xdr:from>
    <xdr:to>
      <xdr:col>5</xdr:col>
      <xdr:colOff>971550</xdr:colOff>
      <xdr:row>105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4629150" y="42929175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117</xdr:row>
      <xdr:rowOff>0</xdr:rowOff>
    </xdr:from>
    <xdr:to>
      <xdr:col>5</xdr:col>
      <xdr:colOff>981075</xdr:colOff>
      <xdr:row>117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629150" y="457676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120</xdr:row>
      <xdr:rowOff>9525</xdr:rowOff>
    </xdr:from>
    <xdr:to>
      <xdr:col>5</xdr:col>
      <xdr:colOff>981075</xdr:colOff>
      <xdr:row>120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4629150" y="465391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117</xdr:row>
      <xdr:rowOff>9525</xdr:rowOff>
    </xdr:from>
    <xdr:to>
      <xdr:col>5</xdr:col>
      <xdr:colOff>971550</xdr:colOff>
      <xdr:row>117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4629150" y="45777150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120</xdr:row>
      <xdr:rowOff>0</xdr:rowOff>
    </xdr:from>
    <xdr:to>
      <xdr:col>5</xdr:col>
      <xdr:colOff>981075</xdr:colOff>
      <xdr:row>120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D50BA532-7A5D-4CB6-83F3-477B33E9A5D6}"/>
            </a:ext>
          </a:extLst>
        </xdr:cNvPr>
        <xdr:cNvSpPr>
          <a:spLocks noChangeShapeType="1"/>
        </xdr:cNvSpPr>
      </xdr:nvSpPr>
      <xdr:spPr bwMode="auto">
        <a:xfrm>
          <a:off x="4629150" y="4658677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123</xdr:row>
      <xdr:rowOff>9525</xdr:rowOff>
    </xdr:from>
    <xdr:to>
      <xdr:col>5</xdr:col>
      <xdr:colOff>981075</xdr:colOff>
      <xdr:row>123</xdr:row>
      <xdr:rowOff>9525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0D41BE38-2F43-42BB-ACA0-56305CB4AA86}"/>
            </a:ext>
          </a:extLst>
        </xdr:cNvPr>
        <xdr:cNvSpPr>
          <a:spLocks noChangeShapeType="1"/>
        </xdr:cNvSpPr>
      </xdr:nvSpPr>
      <xdr:spPr bwMode="auto">
        <a:xfrm flipV="1">
          <a:off x="4629150" y="4735830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120</xdr:row>
      <xdr:rowOff>9525</xdr:rowOff>
    </xdr:from>
    <xdr:to>
      <xdr:col>5</xdr:col>
      <xdr:colOff>971550</xdr:colOff>
      <xdr:row>120</xdr:row>
      <xdr:rowOff>9525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4CB6582B-2726-46FF-AE40-BF4BA024BB9B}"/>
            </a:ext>
          </a:extLst>
        </xdr:cNvPr>
        <xdr:cNvSpPr>
          <a:spLocks noChangeShapeType="1"/>
        </xdr:cNvSpPr>
      </xdr:nvSpPr>
      <xdr:spPr bwMode="auto">
        <a:xfrm flipV="1">
          <a:off x="4629150" y="46596300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116</xdr:row>
      <xdr:rowOff>0</xdr:rowOff>
    </xdr:from>
    <xdr:to>
      <xdr:col>5</xdr:col>
      <xdr:colOff>981075</xdr:colOff>
      <xdr:row>116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505325" y="496538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121</xdr:row>
      <xdr:rowOff>9525</xdr:rowOff>
    </xdr:from>
    <xdr:to>
      <xdr:col>5</xdr:col>
      <xdr:colOff>981075</xdr:colOff>
      <xdr:row>121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4505325" y="506063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116</xdr:row>
      <xdr:rowOff>9525</xdr:rowOff>
    </xdr:from>
    <xdr:to>
      <xdr:col>5</xdr:col>
      <xdr:colOff>971550</xdr:colOff>
      <xdr:row>116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4505325" y="49663350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122</xdr:row>
      <xdr:rowOff>0</xdr:rowOff>
    </xdr:from>
    <xdr:to>
      <xdr:col>5</xdr:col>
      <xdr:colOff>981075</xdr:colOff>
      <xdr:row>122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4505325" y="520255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127</xdr:row>
      <xdr:rowOff>9525</xdr:rowOff>
    </xdr:from>
    <xdr:to>
      <xdr:col>5</xdr:col>
      <xdr:colOff>981075</xdr:colOff>
      <xdr:row>127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V="1">
          <a:off x="4505325" y="529780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122</xdr:row>
      <xdr:rowOff>9525</xdr:rowOff>
    </xdr:from>
    <xdr:to>
      <xdr:col>5</xdr:col>
      <xdr:colOff>971550</xdr:colOff>
      <xdr:row>122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4505325" y="52035075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129</xdr:row>
      <xdr:rowOff>0</xdr:rowOff>
    </xdr:from>
    <xdr:to>
      <xdr:col>5</xdr:col>
      <xdr:colOff>981075</xdr:colOff>
      <xdr:row>129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C30785C-8371-4F45-BBC0-779F3C414854}"/>
            </a:ext>
          </a:extLst>
        </xdr:cNvPr>
        <xdr:cNvSpPr>
          <a:spLocks noChangeShapeType="1"/>
        </xdr:cNvSpPr>
      </xdr:nvSpPr>
      <xdr:spPr bwMode="auto">
        <a:xfrm>
          <a:off x="4505325" y="5523547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134</xdr:row>
      <xdr:rowOff>9525</xdr:rowOff>
    </xdr:from>
    <xdr:to>
      <xdr:col>5</xdr:col>
      <xdr:colOff>981075</xdr:colOff>
      <xdr:row>134</xdr:row>
      <xdr:rowOff>9525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11E4856B-DA51-493D-99DB-FAA2D2AE91B0}"/>
            </a:ext>
          </a:extLst>
        </xdr:cNvPr>
        <xdr:cNvSpPr>
          <a:spLocks noChangeShapeType="1"/>
        </xdr:cNvSpPr>
      </xdr:nvSpPr>
      <xdr:spPr bwMode="auto">
        <a:xfrm flipV="1">
          <a:off x="4505325" y="5618797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129</xdr:row>
      <xdr:rowOff>9525</xdr:rowOff>
    </xdr:from>
    <xdr:to>
      <xdr:col>5</xdr:col>
      <xdr:colOff>971550</xdr:colOff>
      <xdr:row>129</xdr:row>
      <xdr:rowOff>9525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CE13E2FE-8645-44C9-8DA0-8717542D9766}"/>
            </a:ext>
          </a:extLst>
        </xdr:cNvPr>
        <xdr:cNvSpPr>
          <a:spLocks noChangeShapeType="1"/>
        </xdr:cNvSpPr>
      </xdr:nvSpPr>
      <xdr:spPr bwMode="auto">
        <a:xfrm flipV="1">
          <a:off x="4505325" y="55245000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5124450" y="14506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5133975" y="157829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V="1">
          <a:off x="5133975" y="145161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124450" y="3695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V="1">
          <a:off x="5133975" y="456247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V="1">
          <a:off x="5133975" y="37052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4"/>
  <sheetViews>
    <sheetView tabSelected="1" view="pageBreakPreview" zoomScale="115" zoomScaleNormal="115" zoomScaleSheetLayoutView="115" workbookViewId="0">
      <selection activeCell="E13" sqref="E13"/>
    </sheetView>
  </sheetViews>
  <sheetFormatPr defaultRowHeight="13.5" x14ac:dyDescent="0.2"/>
  <cols>
    <col min="1" max="1" width="3.85546875" style="66" customWidth="1"/>
    <col min="2" max="2" width="10" style="66" customWidth="1"/>
    <col min="3" max="3" width="55.5703125" style="4" customWidth="1"/>
    <col min="4" max="4" width="11.42578125" style="1" customWidth="1"/>
    <col min="5" max="5" width="10.42578125" style="4" customWidth="1"/>
    <col min="6" max="6" width="12.42578125" style="4" bestFit="1" customWidth="1"/>
    <col min="7" max="7" width="10.7109375" style="4" customWidth="1"/>
    <col min="8" max="8" width="43.5703125" style="4" customWidth="1"/>
    <col min="9" max="16384" width="9.140625" style="5"/>
  </cols>
  <sheetData>
    <row r="1" spans="1:8" s="4" customFormat="1" ht="6" customHeight="1" x14ac:dyDescent="0.2">
      <c r="A1" s="66"/>
      <c r="B1" s="66"/>
      <c r="D1" s="1"/>
    </row>
    <row r="2" spans="1:8" s="56" customFormat="1" ht="23.25" customHeight="1" x14ac:dyDescent="0.2">
      <c r="A2" s="4"/>
      <c r="B2" s="4"/>
      <c r="C2" s="4"/>
      <c r="D2" s="1"/>
      <c r="E2" s="4"/>
      <c r="F2" s="4"/>
      <c r="G2" s="4"/>
      <c r="H2" s="6" t="s">
        <v>0</v>
      </c>
    </row>
    <row r="3" spans="1:8" s="56" customFormat="1" ht="20.25" customHeight="1" x14ac:dyDescent="0.2">
      <c r="A3" s="4"/>
      <c r="B3" s="4"/>
      <c r="C3" s="75" t="s">
        <v>1</v>
      </c>
      <c r="D3" s="75"/>
      <c r="E3" s="75"/>
      <c r="F3" s="75"/>
      <c r="G3" s="75"/>
      <c r="H3" s="4"/>
    </row>
    <row r="4" spans="1:8" s="56" customFormat="1" ht="26.25" customHeight="1" x14ac:dyDescent="0.2">
      <c r="A4" s="76" t="s">
        <v>163</v>
      </c>
      <c r="B4" s="77"/>
      <c r="C4" s="77"/>
      <c r="D4" s="77"/>
      <c r="E4" s="78"/>
      <c r="F4" s="82" t="s">
        <v>2</v>
      </c>
      <c r="G4" s="83"/>
      <c r="H4" s="84"/>
    </row>
    <row r="5" spans="1:8" s="56" customFormat="1" ht="18.75" customHeight="1" x14ac:dyDescent="0.2">
      <c r="A5" s="79"/>
      <c r="B5" s="80"/>
      <c r="C5" s="80"/>
      <c r="D5" s="80"/>
      <c r="E5" s="81"/>
      <c r="F5" s="85">
        <v>204578581</v>
      </c>
      <c r="G5" s="86"/>
      <c r="H5" s="87"/>
    </row>
    <row r="6" spans="1:8" s="56" customFormat="1" ht="22.5" customHeight="1" x14ac:dyDescent="0.2">
      <c r="A6" s="76" t="s">
        <v>3</v>
      </c>
      <c r="B6" s="77"/>
      <c r="C6" s="77"/>
      <c r="D6" s="77"/>
      <c r="E6" s="78"/>
      <c r="F6" s="76" t="s">
        <v>4</v>
      </c>
      <c r="G6" s="88"/>
      <c r="H6" s="89"/>
    </row>
    <row r="7" spans="1:8" s="56" customFormat="1" ht="21.75" customHeight="1" x14ac:dyDescent="0.2">
      <c r="A7" s="85" t="s">
        <v>5</v>
      </c>
      <c r="B7" s="86"/>
      <c r="C7" s="86"/>
      <c r="D7" s="86"/>
      <c r="E7" s="87"/>
      <c r="F7" s="90"/>
      <c r="G7" s="91"/>
      <c r="H7" s="92"/>
    </row>
    <row r="8" spans="1:8" s="56" customFormat="1" ht="21" customHeight="1" x14ac:dyDescent="0.2">
      <c r="A8" s="76" t="s">
        <v>6</v>
      </c>
      <c r="B8" s="77"/>
      <c r="C8" s="77"/>
      <c r="D8" s="77"/>
      <c r="E8" s="77"/>
      <c r="F8" s="77"/>
      <c r="G8" s="77"/>
      <c r="H8" s="78"/>
    </row>
    <row r="9" spans="1:8" s="8" customFormat="1" ht="15.75" customHeight="1" x14ac:dyDescent="0.2">
      <c r="A9" s="100">
        <f>14173700-600000</f>
        <v>13573700</v>
      </c>
      <c r="B9" s="101"/>
      <c r="C9" s="101"/>
      <c r="D9" s="101"/>
      <c r="E9" s="101"/>
      <c r="F9" s="101"/>
      <c r="G9" s="101"/>
      <c r="H9" s="101"/>
    </row>
    <row r="10" spans="1:8" s="8" customFormat="1" ht="66.75" customHeight="1" x14ac:dyDescent="0.2">
      <c r="A10" s="13" t="s">
        <v>7</v>
      </c>
      <c r="B10" s="13" t="s">
        <v>8</v>
      </c>
      <c r="C10" s="13" t="s">
        <v>9</v>
      </c>
      <c r="D10" s="9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</row>
    <row r="11" spans="1:8" s="8" customFormat="1" ht="15" customHeight="1" x14ac:dyDescent="0.2">
      <c r="A11" s="13">
        <v>1</v>
      </c>
      <c r="B11" s="13">
        <v>2</v>
      </c>
      <c r="C11" s="13">
        <v>3</v>
      </c>
      <c r="D11" s="10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s="4" customFormat="1" ht="31.5" customHeight="1" x14ac:dyDescent="0.2">
      <c r="A12" s="13">
        <v>1</v>
      </c>
      <c r="B12" s="11" t="s">
        <v>15</v>
      </c>
      <c r="C12" s="13" t="s">
        <v>16</v>
      </c>
      <c r="D12" s="10">
        <f>911382-32000</f>
        <v>879382</v>
      </c>
      <c r="E12" s="13" t="s">
        <v>17</v>
      </c>
      <c r="F12" s="11" t="s">
        <v>18</v>
      </c>
      <c r="G12" s="11" t="s">
        <v>19</v>
      </c>
      <c r="H12" s="12" t="s">
        <v>20</v>
      </c>
    </row>
    <row r="13" spans="1:8" s="4" customFormat="1" ht="28.5" customHeight="1" x14ac:dyDescent="0.2">
      <c r="A13" s="13">
        <v>2</v>
      </c>
      <c r="B13" s="102" t="s">
        <v>21</v>
      </c>
      <c r="C13" s="102" t="s">
        <v>22</v>
      </c>
      <c r="D13" s="10">
        <f>9900-2120</f>
        <v>7780</v>
      </c>
      <c r="E13" s="13" t="s">
        <v>23</v>
      </c>
      <c r="F13" s="11" t="s">
        <v>18</v>
      </c>
      <c r="G13" s="11" t="s">
        <v>19</v>
      </c>
      <c r="H13" s="12"/>
    </row>
    <row r="14" spans="1:8" s="4" customFormat="1" ht="29.25" customHeight="1" x14ac:dyDescent="0.2">
      <c r="A14" s="13">
        <v>3</v>
      </c>
      <c r="B14" s="102"/>
      <c r="C14" s="102"/>
      <c r="D14" s="10">
        <f>56527-1012</f>
        <v>55515</v>
      </c>
      <c r="E14" s="13" t="s">
        <v>17</v>
      </c>
      <c r="F14" s="11" t="s">
        <v>18</v>
      </c>
      <c r="G14" s="11" t="s">
        <v>19</v>
      </c>
      <c r="H14" s="12" t="s">
        <v>20</v>
      </c>
    </row>
    <row r="15" spans="1:8" s="39" customFormat="1" ht="30.75" customHeight="1" x14ac:dyDescent="0.2">
      <c r="A15" s="13">
        <v>4</v>
      </c>
      <c r="B15" s="103">
        <v>14200000</v>
      </c>
      <c r="C15" s="13" t="s">
        <v>24</v>
      </c>
      <c r="D15" s="10">
        <f>1000+2675</f>
        <v>3675</v>
      </c>
      <c r="E15" s="13" t="s">
        <v>23</v>
      </c>
      <c r="F15" s="11" t="s">
        <v>25</v>
      </c>
      <c r="G15" s="11" t="s">
        <v>26</v>
      </c>
      <c r="H15" s="13"/>
    </row>
    <row r="16" spans="1:8" s="4" customFormat="1" ht="32.25" customHeight="1" x14ac:dyDescent="0.2">
      <c r="A16" s="13">
        <v>5</v>
      </c>
      <c r="B16" s="13">
        <v>15800000</v>
      </c>
      <c r="C16" s="13" t="s">
        <v>27</v>
      </c>
      <c r="D16" s="10">
        <f>700-500</f>
        <v>200</v>
      </c>
      <c r="E16" s="13" t="s">
        <v>23</v>
      </c>
      <c r="F16" s="11" t="s">
        <v>18</v>
      </c>
      <c r="G16" s="11" t="s">
        <v>19</v>
      </c>
      <c r="H16" s="12" t="s">
        <v>28</v>
      </c>
    </row>
    <row r="17" spans="1:8" s="39" customFormat="1" ht="32.25" customHeight="1" x14ac:dyDescent="0.2">
      <c r="A17" s="13">
        <v>6</v>
      </c>
      <c r="B17" s="13">
        <v>15900000</v>
      </c>
      <c r="C17" s="13" t="s">
        <v>29</v>
      </c>
      <c r="D17" s="10">
        <f>5000-2850</f>
        <v>2150</v>
      </c>
      <c r="E17" s="13" t="s">
        <v>23</v>
      </c>
      <c r="F17" s="11" t="s">
        <v>18</v>
      </c>
      <c r="G17" s="11" t="s">
        <v>19</v>
      </c>
      <c r="H17" s="12" t="s">
        <v>28</v>
      </c>
    </row>
    <row r="18" spans="1:8" s="4" customFormat="1" ht="29.25" customHeight="1" x14ac:dyDescent="0.2">
      <c r="A18" s="13">
        <v>7</v>
      </c>
      <c r="B18" s="13">
        <v>18300000</v>
      </c>
      <c r="C18" s="13" t="s">
        <v>30</v>
      </c>
      <c r="D18" s="10">
        <f>3600+1590</f>
        <v>5190</v>
      </c>
      <c r="E18" s="13" t="s">
        <v>23</v>
      </c>
      <c r="F18" s="11" t="s">
        <v>18</v>
      </c>
      <c r="G18" s="11" t="s">
        <v>19</v>
      </c>
      <c r="H18" s="12"/>
    </row>
    <row r="19" spans="1:8" s="4" customFormat="1" ht="29.25" customHeight="1" x14ac:dyDescent="0.2">
      <c r="A19" s="13">
        <v>8</v>
      </c>
      <c r="B19" s="102">
        <v>18400000</v>
      </c>
      <c r="C19" s="102" t="s">
        <v>31</v>
      </c>
      <c r="D19" s="10">
        <f>88075+5000</f>
        <v>93075</v>
      </c>
      <c r="E19" s="13" t="s">
        <v>32</v>
      </c>
      <c r="F19" s="11" t="s">
        <v>18</v>
      </c>
      <c r="G19" s="11" t="s">
        <v>19</v>
      </c>
      <c r="H19" s="12"/>
    </row>
    <row r="20" spans="1:8" s="4" customFormat="1" ht="29.25" customHeight="1" x14ac:dyDescent="0.2">
      <c r="A20" s="13">
        <v>9</v>
      </c>
      <c r="B20" s="102"/>
      <c r="C20" s="102"/>
      <c r="D20" s="10">
        <f>76770+115155</f>
        <v>191925</v>
      </c>
      <c r="E20" s="13" t="s">
        <v>23</v>
      </c>
      <c r="F20" s="11" t="s">
        <v>25</v>
      </c>
      <c r="G20" s="11" t="s">
        <v>26</v>
      </c>
      <c r="H20" s="12" t="s">
        <v>33</v>
      </c>
    </row>
    <row r="21" spans="1:8" s="4" customFormat="1" ht="30.75" customHeight="1" x14ac:dyDescent="0.2">
      <c r="A21" s="13">
        <v>10</v>
      </c>
      <c r="B21" s="102">
        <v>18500000</v>
      </c>
      <c r="C21" s="102" t="s">
        <v>34</v>
      </c>
      <c r="D21" s="10">
        <v>9990</v>
      </c>
      <c r="E21" s="13" t="s">
        <v>23</v>
      </c>
      <c r="F21" s="11" t="s">
        <v>18</v>
      </c>
      <c r="G21" s="11" t="s">
        <v>19</v>
      </c>
      <c r="H21" s="12"/>
    </row>
    <row r="22" spans="1:8" s="4" customFormat="1" ht="27.75" customHeight="1" x14ac:dyDescent="0.2">
      <c r="A22" s="13">
        <v>11</v>
      </c>
      <c r="B22" s="102"/>
      <c r="C22" s="102"/>
      <c r="D22" s="10">
        <f>10000-3000</f>
        <v>7000</v>
      </c>
      <c r="E22" s="13" t="s">
        <v>23</v>
      </c>
      <c r="F22" s="11" t="s">
        <v>18</v>
      </c>
      <c r="G22" s="11" t="s">
        <v>19</v>
      </c>
      <c r="H22" s="12" t="s">
        <v>28</v>
      </c>
    </row>
    <row r="23" spans="1:8" s="4" customFormat="1" ht="36" customHeight="1" x14ac:dyDescent="0.2">
      <c r="A23" s="13">
        <v>12</v>
      </c>
      <c r="B23" s="13">
        <v>18800000</v>
      </c>
      <c r="C23" s="13" t="s">
        <v>112</v>
      </c>
      <c r="D23" s="10">
        <v>2769</v>
      </c>
      <c r="E23" s="13" t="s">
        <v>23</v>
      </c>
      <c r="F23" s="11" t="s">
        <v>150</v>
      </c>
      <c r="G23" s="11" t="s">
        <v>151</v>
      </c>
      <c r="H23" s="12"/>
    </row>
    <row r="24" spans="1:8" s="4" customFormat="1" ht="39" customHeight="1" x14ac:dyDescent="0.2">
      <c r="A24" s="13">
        <v>13</v>
      </c>
      <c r="B24" s="13">
        <v>22400000</v>
      </c>
      <c r="C24" s="13" t="s">
        <v>35</v>
      </c>
      <c r="D24" s="10">
        <f>14429-2562</f>
        <v>11867</v>
      </c>
      <c r="E24" s="13" t="s">
        <v>32</v>
      </c>
      <c r="F24" s="11" t="s">
        <v>18</v>
      </c>
      <c r="G24" s="11" t="s">
        <v>19</v>
      </c>
      <c r="H24" s="12"/>
    </row>
    <row r="25" spans="1:8" s="4" customFormat="1" ht="29.25" customHeight="1" x14ac:dyDescent="0.2">
      <c r="A25" s="13">
        <v>14</v>
      </c>
      <c r="B25" s="13">
        <v>24400000</v>
      </c>
      <c r="C25" s="13" t="s">
        <v>36</v>
      </c>
      <c r="D25" s="10">
        <f>300000-151500</f>
        <v>148500</v>
      </c>
      <c r="E25" s="13" t="s">
        <v>32</v>
      </c>
      <c r="F25" s="11" t="s">
        <v>18</v>
      </c>
      <c r="G25" s="11" t="s">
        <v>19</v>
      </c>
      <c r="H25" s="12"/>
    </row>
    <row r="26" spans="1:8" s="4" customFormat="1" ht="33.75" customHeight="1" x14ac:dyDescent="0.2">
      <c r="A26" s="13">
        <v>15</v>
      </c>
      <c r="B26" s="102">
        <v>30100000</v>
      </c>
      <c r="C26" s="102" t="s">
        <v>37</v>
      </c>
      <c r="D26" s="14">
        <f>10000-10</f>
        <v>9990</v>
      </c>
      <c r="E26" s="13" t="s">
        <v>32</v>
      </c>
      <c r="F26" s="11" t="s">
        <v>18</v>
      </c>
      <c r="G26" s="11" t="s">
        <v>19</v>
      </c>
      <c r="H26" s="104"/>
    </row>
    <row r="27" spans="1:8" s="4" customFormat="1" ht="28.5" customHeight="1" x14ac:dyDescent="0.2">
      <c r="A27" s="13">
        <v>16</v>
      </c>
      <c r="B27" s="102"/>
      <c r="C27" s="102"/>
      <c r="D27" s="14">
        <f>28550-7280</f>
        <v>21270</v>
      </c>
      <c r="E27" s="13" t="s">
        <v>17</v>
      </c>
      <c r="F27" s="11" t="s">
        <v>18</v>
      </c>
      <c r="G27" s="11" t="s">
        <v>19</v>
      </c>
      <c r="H27" s="12" t="s">
        <v>20</v>
      </c>
    </row>
    <row r="28" spans="1:8" s="4" customFormat="1" ht="30" customHeight="1" x14ac:dyDescent="0.2">
      <c r="A28" s="13">
        <v>17</v>
      </c>
      <c r="B28" s="102">
        <v>30200000</v>
      </c>
      <c r="C28" s="102" t="s">
        <v>38</v>
      </c>
      <c r="D28" s="15">
        <f>350000-162350</f>
        <v>187650</v>
      </c>
      <c r="E28" s="13" t="s">
        <v>17</v>
      </c>
      <c r="F28" s="11" t="s">
        <v>18</v>
      </c>
      <c r="G28" s="11" t="s">
        <v>19</v>
      </c>
      <c r="H28" s="12" t="s">
        <v>20</v>
      </c>
    </row>
    <row r="29" spans="1:8" s="4" customFormat="1" ht="30" customHeight="1" x14ac:dyDescent="0.2">
      <c r="A29" s="13">
        <v>18</v>
      </c>
      <c r="B29" s="102"/>
      <c r="C29" s="102"/>
      <c r="D29" s="14">
        <v>8300</v>
      </c>
      <c r="E29" s="13" t="s">
        <v>17</v>
      </c>
      <c r="F29" s="11" t="s">
        <v>18</v>
      </c>
      <c r="G29" s="11" t="s">
        <v>19</v>
      </c>
      <c r="H29" s="12" t="s">
        <v>20</v>
      </c>
    </row>
    <row r="30" spans="1:8" s="4" customFormat="1" ht="28.5" customHeight="1" x14ac:dyDescent="0.2">
      <c r="A30" s="13">
        <v>19</v>
      </c>
      <c r="B30" s="102"/>
      <c r="C30" s="102"/>
      <c r="D30" s="15">
        <f>9800-2700</f>
        <v>7100</v>
      </c>
      <c r="E30" s="13" t="s">
        <v>23</v>
      </c>
      <c r="F30" s="11" t="s">
        <v>18</v>
      </c>
      <c r="G30" s="11" t="s">
        <v>19</v>
      </c>
      <c r="H30" s="12"/>
    </row>
    <row r="31" spans="1:8" s="4" customFormat="1" ht="28.5" customHeight="1" x14ac:dyDescent="0.2">
      <c r="A31" s="13">
        <v>20</v>
      </c>
      <c r="B31" s="102"/>
      <c r="C31" s="102"/>
      <c r="D31" s="14">
        <v>2700</v>
      </c>
      <c r="E31" s="13" t="s">
        <v>23</v>
      </c>
      <c r="F31" s="11" t="s">
        <v>97</v>
      </c>
      <c r="G31" s="11" t="s">
        <v>97</v>
      </c>
      <c r="H31" s="12"/>
    </row>
    <row r="32" spans="1:8" s="4" customFormat="1" ht="27.75" customHeight="1" x14ac:dyDescent="0.2">
      <c r="A32" s="13">
        <v>21</v>
      </c>
      <c r="B32" s="102">
        <v>31100000</v>
      </c>
      <c r="C32" s="102" t="s">
        <v>39</v>
      </c>
      <c r="D32" s="10">
        <f>1000+1400</f>
        <v>2400</v>
      </c>
      <c r="E32" s="13" t="s">
        <v>23</v>
      </c>
      <c r="F32" s="11" t="s">
        <v>18</v>
      </c>
      <c r="G32" s="11" t="s">
        <v>19</v>
      </c>
      <c r="H32" s="12"/>
    </row>
    <row r="33" spans="1:8" s="4" customFormat="1" ht="26.25" customHeight="1" x14ac:dyDescent="0.2">
      <c r="A33" s="13">
        <v>22</v>
      </c>
      <c r="B33" s="102"/>
      <c r="C33" s="102"/>
      <c r="D33" s="16">
        <v>2400</v>
      </c>
      <c r="E33" s="13" t="s">
        <v>23</v>
      </c>
      <c r="F33" s="11" t="s">
        <v>25</v>
      </c>
      <c r="G33" s="11" t="s">
        <v>26</v>
      </c>
      <c r="H33" s="12"/>
    </row>
    <row r="34" spans="1:8" s="4" customFormat="1" ht="35.25" customHeight="1" x14ac:dyDescent="0.2">
      <c r="A34" s="13">
        <v>23</v>
      </c>
      <c r="B34" s="13">
        <v>31300000</v>
      </c>
      <c r="C34" s="13" t="s">
        <v>121</v>
      </c>
      <c r="D34" s="10">
        <v>4050</v>
      </c>
      <c r="E34" s="13" t="s">
        <v>23</v>
      </c>
      <c r="F34" s="11" t="s">
        <v>151</v>
      </c>
      <c r="G34" s="11" t="s">
        <v>151</v>
      </c>
      <c r="H34" s="12"/>
    </row>
    <row r="35" spans="1:8" s="4" customFormat="1" ht="26.25" customHeight="1" x14ac:dyDescent="0.2">
      <c r="A35" s="13">
        <v>24</v>
      </c>
      <c r="B35" s="102">
        <v>31400000</v>
      </c>
      <c r="C35" s="102" t="s">
        <v>40</v>
      </c>
      <c r="D35" s="10">
        <f>1000+6800</f>
        <v>7800</v>
      </c>
      <c r="E35" s="13" t="s">
        <v>23</v>
      </c>
      <c r="F35" s="11" t="s">
        <v>18</v>
      </c>
      <c r="G35" s="11" t="s">
        <v>19</v>
      </c>
      <c r="H35" s="12"/>
    </row>
    <row r="36" spans="1:8" s="4" customFormat="1" ht="26.25" customHeight="1" x14ac:dyDescent="0.2">
      <c r="A36" s="13">
        <v>25</v>
      </c>
      <c r="B36" s="102"/>
      <c r="C36" s="102"/>
      <c r="D36" s="16">
        <v>860</v>
      </c>
      <c r="E36" s="13" t="s">
        <v>23</v>
      </c>
      <c r="F36" s="11" t="s">
        <v>18</v>
      </c>
      <c r="G36" s="11" t="s">
        <v>19</v>
      </c>
      <c r="H36" s="12"/>
    </row>
    <row r="37" spans="1:8" s="4" customFormat="1" ht="29.25" customHeight="1" x14ac:dyDescent="0.2">
      <c r="A37" s="13">
        <v>26</v>
      </c>
      <c r="B37" s="102"/>
      <c r="C37" s="102"/>
      <c r="D37" s="10">
        <f>26870-8</f>
        <v>26862</v>
      </c>
      <c r="E37" s="13" t="s">
        <v>17</v>
      </c>
      <c r="F37" s="11" t="s">
        <v>18</v>
      </c>
      <c r="G37" s="11" t="s">
        <v>19</v>
      </c>
      <c r="H37" s="12" t="s">
        <v>20</v>
      </c>
    </row>
    <row r="38" spans="1:8" s="4" customFormat="1" ht="34.5" customHeight="1" x14ac:dyDescent="0.2">
      <c r="A38" s="13">
        <v>27</v>
      </c>
      <c r="B38" s="13">
        <v>31500000</v>
      </c>
      <c r="C38" s="13" t="s">
        <v>41</v>
      </c>
      <c r="D38" s="10">
        <f>10760+5700</f>
        <v>16460</v>
      </c>
      <c r="E38" s="13" t="s">
        <v>32</v>
      </c>
      <c r="F38" s="11" t="s">
        <v>18</v>
      </c>
      <c r="G38" s="11" t="s">
        <v>19</v>
      </c>
      <c r="H38" s="52"/>
    </row>
    <row r="39" spans="1:8" s="4" customFormat="1" ht="39.75" customHeight="1" x14ac:dyDescent="0.2">
      <c r="A39" s="13">
        <v>28</v>
      </c>
      <c r="B39" s="13">
        <v>32200000</v>
      </c>
      <c r="C39" s="13" t="s">
        <v>42</v>
      </c>
      <c r="D39" s="10">
        <f>9990-8400</f>
        <v>1590</v>
      </c>
      <c r="E39" s="13" t="s">
        <v>23</v>
      </c>
      <c r="F39" s="11" t="s">
        <v>18</v>
      </c>
      <c r="G39" s="11" t="s">
        <v>19</v>
      </c>
      <c r="H39" s="12"/>
    </row>
    <row r="40" spans="1:8" s="4" customFormat="1" ht="33.75" customHeight="1" x14ac:dyDescent="0.2">
      <c r="A40" s="13">
        <v>29</v>
      </c>
      <c r="B40" s="102">
        <v>32300000</v>
      </c>
      <c r="C40" s="102" t="s">
        <v>43</v>
      </c>
      <c r="D40" s="10">
        <v>1000</v>
      </c>
      <c r="E40" s="13" t="s">
        <v>23</v>
      </c>
      <c r="F40" s="11" t="s">
        <v>18</v>
      </c>
      <c r="G40" s="11" t="s">
        <v>19</v>
      </c>
      <c r="H40" s="52"/>
    </row>
    <row r="41" spans="1:8" s="4" customFormat="1" ht="33.75" customHeight="1" x14ac:dyDescent="0.2">
      <c r="A41" s="13">
        <v>29</v>
      </c>
      <c r="B41" s="102"/>
      <c r="C41" s="102"/>
      <c r="D41" s="16">
        <v>3665</v>
      </c>
      <c r="E41" s="13" t="s">
        <v>23</v>
      </c>
      <c r="F41" s="11" t="s">
        <v>18</v>
      </c>
      <c r="G41" s="11" t="s">
        <v>19</v>
      </c>
      <c r="H41" s="52"/>
    </row>
    <row r="42" spans="1:8" s="4" customFormat="1" ht="33.75" customHeight="1" x14ac:dyDescent="0.2">
      <c r="A42" s="13">
        <v>30</v>
      </c>
      <c r="B42" s="102"/>
      <c r="C42" s="102"/>
      <c r="D42" s="16">
        <f>1105000-600000</f>
        <v>505000</v>
      </c>
      <c r="E42" s="13" t="s">
        <v>17</v>
      </c>
      <c r="F42" s="11" t="s">
        <v>150</v>
      </c>
      <c r="G42" s="11" t="s">
        <v>151</v>
      </c>
      <c r="H42" s="12" t="s">
        <v>20</v>
      </c>
    </row>
    <row r="43" spans="1:8" s="4" customFormat="1" ht="26.25" customHeight="1" x14ac:dyDescent="0.2">
      <c r="A43" s="13">
        <v>31</v>
      </c>
      <c r="B43" s="95">
        <v>32400000</v>
      </c>
      <c r="C43" s="95" t="s">
        <v>44</v>
      </c>
      <c r="D43" s="10">
        <f>5000-1900</f>
        <v>3100</v>
      </c>
      <c r="E43" s="13" t="s">
        <v>23</v>
      </c>
      <c r="F43" s="11" t="s">
        <v>18</v>
      </c>
      <c r="G43" s="11" t="s">
        <v>19</v>
      </c>
      <c r="H43" s="12"/>
    </row>
    <row r="44" spans="1:8" s="4" customFormat="1" ht="26.25" customHeight="1" x14ac:dyDescent="0.2">
      <c r="A44" s="13">
        <v>32</v>
      </c>
      <c r="B44" s="96"/>
      <c r="C44" s="96"/>
      <c r="D44" s="16">
        <v>6000</v>
      </c>
      <c r="E44" s="13" t="s">
        <v>23</v>
      </c>
      <c r="F44" s="11" t="s">
        <v>151</v>
      </c>
      <c r="G44" s="11" t="s">
        <v>151</v>
      </c>
      <c r="H44" s="12"/>
    </row>
    <row r="45" spans="1:8" s="4" customFormat="1" ht="25.5" customHeight="1" x14ac:dyDescent="0.2">
      <c r="A45" s="13">
        <v>33</v>
      </c>
      <c r="B45" s="13">
        <v>32500000</v>
      </c>
      <c r="C45" s="13" t="s">
        <v>45</v>
      </c>
      <c r="D45" s="10">
        <v>1000</v>
      </c>
      <c r="E45" s="13" t="s">
        <v>23</v>
      </c>
      <c r="F45" s="11" t="s">
        <v>18</v>
      </c>
      <c r="G45" s="11" t="s">
        <v>19</v>
      </c>
      <c r="H45" s="12"/>
    </row>
    <row r="46" spans="1:8" s="4" customFormat="1" ht="25.5" customHeight="1" x14ac:dyDescent="0.2">
      <c r="A46" s="13">
        <v>34</v>
      </c>
      <c r="B46" s="13">
        <v>33100000</v>
      </c>
      <c r="C46" s="13" t="s">
        <v>46</v>
      </c>
      <c r="D46" s="10">
        <v>7100</v>
      </c>
      <c r="E46" s="13" t="s">
        <v>23</v>
      </c>
      <c r="F46" s="11" t="s">
        <v>18</v>
      </c>
      <c r="G46" s="11" t="s">
        <v>19</v>
      </c>
      <c r="H46" s="52"/>
    </row>
    <row r="47" spans="1:8" s="4" customFormat="1" ht="33.75" customHeight="1" x14ac:dyDescent="0.2">
      <c r="A47" s="13">
        <v>35</v>
      </c>
      <c r="B47" s="13">
        <v>34100000</v>
      </c>
      <c r="C47" s="13" t="s">
        <v>47</v>
      </c>
      <c r="D47" s="58">
        <f>4885871.99-488000</f>
        <v>4397871.99</v>
      </c>
      <c r="E47" s="13" t="s">
        <v>32</v>
      </c>
      <c r="F47" s="11" t="s">
        <v>18</v>
      </c>
      <c r="G47" s="11" t="s">
        <v>19</v>
      </c>
      <c r="H47" s="12"/>
    </row>
    <row r="48" spans="1:8" s="4" customFormat="1" ht="38.25" customHeight="1" x14ac:dyDescent="0.2">
      <c r="A48" s="13">
        <v>36</v>
      </c>
      <c r="B48" s="13">
        <v>34300000</v>
      </c>
      <c r="C48" s="13" t="s">
        <v>48</v>
      </c>
      <c r="D48" s="10">
        <f>209464+4257</f>
        <v>213721</v>
      </c>
      <c r="E48" s="13" t="s">
        <v>17</v>
      </c>
      <c r="F48" s="11" t="s">
        <v>18</v>
      </c>
      <c r="G48" s="11" t="s">
        <v>19</v>
      </c>
      <c r="H48" s="12" t="s">
        <v>20</v>
      </c>
    </row>
    <row r="49" spans="1:8" s="4" customFormat="1" ht="33.75" customHeight="1" x14ac:dyDescent="0.2">
      <c r="A49" s="13">
        <v>37</v>
      </c>
      <c r="B49" s="13">
        <v>34700000</v>
      </c>
      <c r="C49" s="13" t="s">
        <v>157</v>
      </c>
      <c r="D49" s="16">
        <v>336000</v>
      </c>
      <c r="E49" s="13" t="s">
        <v>32</v>
      </c>
      <c r="F49" s="11" t="s">
        <v>150</v>
      </c>
      <c r="G49" s="11" t="s">
        <v>151</v>
      </c>
      <c r="H49" s="12"/>
    </row>
    <row r="50" spans="1:8" s="4" customFormat="1" ht="35.25" customHeight="1" x14ac:dyDescent="0.2">
      <c r="A50" s="13">
        <v>38</v>
      </c>
      <c r="B50" s="13">
        <v>34900000</v>
      </c>
      <c r="C50" s="13" t="s">
        <v>49</v>
      </c>
      <c r="D50" s="16">
        <v>5000</v>
      </c>
      <c r="E50" s="13" t="s">
        <v>23</v>
      </c>
      <c r="F50" s="11" t="s">
        <v>25</v>
      </c>
      <c r="G50" s="11" t="s">
        <v>26</v>
      </c>
      <c r="H50" s="12"/>
    </row>
    <row r="51" spans="1:8" s="4" customFormat="1" ht="31.5" customHeight="1" x14ac:dyDescent="0.2">
      <c r="A51" s="13">
        <v>39</v>
      </c>
      <c r="B51" s="13">
        <v>37400000</v>
      </c>
      <c r="C51" s="13" t="s">
        <v>158</v>
      </c>
      <c r="D51" s="10">
        <v>320</v>
      </c>
      <c r="E51" s="13" t="s">
        <v>23</v>
      </c>
      <c r="F51" s="11" t="s">
        <v>150</v>
      </c>
      <c r="G51" s="11" t="s">
        <v>151</v>
      </c>
      <c r="H51" s="12"/>
    </row>
    <row r="52" spans="1:8" s="4" customFormat="1" ht="33.75" customHeight="1" x14ac:dyDescent="0.2">
      <c r="A52" s="13">
        <v>40</v>
      </c>
      <c r="B52" s="13">
        <v>38100000</v>
      </c>
      <c r="C52" s="13" t="s">
        <v>159</v>
      </c>
      <c r="D52" s="16">
        <v>65000</v>
      </c>
      <c r="E52" s="13" t="s">
        <v>32</v>
      </c>
      <c r="F52" s="11" t="s">
        <v>150</v>
      </c>
      <c r="G52" s="11" t="s">
        <v>151</v>
      </c>
      <c r="H52" s="12"/>
    </row>
    <row r="53" spans="1:8" s="4" customFormat="1" ht="33.75" customHeight="1" x14ac:dyDescent="0.2">
      <c r="A53" s="13">
        <v>41</v>
      </c>
      <c r="B53" s="13">
        <v>38600000</v>
      </c>
      <c r="C53" s="13" t="s">
        <v>51</v>
      </c>
      <c r="D53" s="10">
        <v>141228</v>
      </c>
      <c r="E53" s="13" t="s">
        <v>32</v>
      </c>
      <c r="F53" s="11" t="s">
        <v>25</v>
      </c>
      <c r="G53" s="11" t="s">
        <v>26</v>
      </c>
      <c r="H53" s="105"/>
    </row>
    <row r="54" spans="1:8" s="4" customFormat="1" ht="24" customHeight="1" x14ac:dyDescent="0.2">
      <c r="A54" s="13">
        <v>42</v>
      </c>
      <c r="B54" s="102">
        <v>39100000</v>
      </c>
      <c r="C54" s="102" t="s">
        <v>52</v>
      </c>
      <c r="D54" s="10">
        <f>36000+9760</f>
        <v>45760</v>
      </c>
      <c r="E54" s="13" t="s">
        <v>17</v>
      </c>
      <c r="F54" s="11" t="s">
        <v>18</v>
      </c>
      <c r="G54" s="11" t="s">
        <v>19</v>
      </c>
      <c r="H54" s="12" t="s">
        <v>20</v>
      </c>
    </row>
    <row r="55" spans="1:8" s="4" customFormat="1" ht="28.5" customHeight="1" x14ac:dyDescent="0.2">
      <c r="A55" s="13">
        <v>43</v>
      </c>
      <c r="B55" s="102"/>
      <c r="C55" s="102"/>
      <c r="D55" s="10">
        <f>3160-1285</f>
        <v>1875</v>
      </c>
      <c r="E55" s="13" t="s">
        <v>23</v>
      </c>
      <c r="F55" s="11" t="s">
        <v>18</v>
      </c>
      <c r="G55" s="11" t="s">
        <v>19</v>
      </c>
      <c r="H55" s="12"/>
    </row>
    <row r="56" spans="1:8" s="4" customFormat="1" ht="33" customHeight="1" x14ac:dyDescent="0.2">
      <c r="A56" s="13">
        <v>44</v>
      </c>
      <c r="B56" s="102"/>
      <c r="C56" s="102"/>
      <c r="D56" s="16">
        <f>6020+2095</f>
        <v>8115</v>
      </c>
      <c r="E56" s="13" t="s">
        <v>23</v>
      </c>
      <c r="F56" s="11" t="s">
        <v>150</v>
      </c>
      <c r="G56" s="11" t="s">
        <v>151</v>
      </c>
      <c r="H56" s="106"/>
    </row>
    <row r="57" spans="1:8" s="4" customFormat="1" ht="32.25" customHeight="1" x14ac:dyDescent="0.2">
      <c r="A57" s="13">
        <v>45</v>
      </c>
      <c r="B57" s="13">
        <v>39200000</v>
      </c>
      <c r="C57" s="13" t="s">
        <v>53</v>
      </c>
      <c r="D57" s="10">
        <v>8000</v>
      </c>
      <c r="E57" s="13" t="s">
        <v>23</v>
      </c>
      <c r="F57" s="11" t="s">
        <v>18</v>
      </c>
      <c r="G57" s="11" t="s">
        <v>19</v>
      </c>
      <c r="H57" s="13"/>
    </row>
    <row r="58" spans="1:8" s="4" customFormat="1" ht="37.5" customHeight="1" x14ac:dyDescent="0.2">
      <c r="A58" s="13">
        <v>46</v>
      </c>
      <c r="B58" s="13">
        <v>39500000</v>
      </c>
      <c r="C58" s="13" t="s">
        <v>124</v>
      </c>
      <c r="D58" s="10">
        <v>400</v>
      </c>
      <c r="E58" s="13" t="s">
        <v>23</v>
      </c>
      <c r="F58" s="11" t="s">
        <v>150</v>
      </c>
      <c r="G58" s="11" t="s">
        <v>151</v>
      </c>
      <c r="H58" s="13"/>
    </row>
    <row r="59" spans="1:8" s="4" customFormat="1" ht="33.75" customHeight="1" x14ac:dyDescent="0.2">
      <c r="A59" s="13">
        <v>47</v>
      </c>
      <c r="B59" s="95">
        <v>39700000</v>
      </c>
      <c r="C59" s="95" t="s">
        <v>125</v>
      </c>
      <c r="D59" s="10">
        <v>500</v>
      </c>
      <c r="E59" s="13" t="s">
        <v>23</v>
      </c>
      <c r="F59" s="11" t="s">
        <v>150</v>
      </c>
      <c r="G59" s="11" t="s">
        <v>151</v>
      </c>
      <c r="H59" s="13"/>
    </row>
    <row r="60" spans="1:8" s="4" customFormat="1" ht="33.75" customHeight="1" x14ac:dyDescent="0.2">
      <c r="A60" s="13">
        <v>48</v>
      </c>
      <c r="B60" s="96"/>
      <c r="C60" s="96"/>
      <c r="D60" s="16">
        <v>3900</v>
      </c>
      <c r="E60" s="13" t="s">
        <v>23</v>
      </c>
      <c r="F60" s="11" t="s">
        <v>97</v>
      </c>
      <c r="G60" s="11" t="s">
        <v>97</v>
      </c>
      <c r="H60" s="13"/>
    </row>
    <row r="61" spans="1:8" s="4" customFormat="1" ht="35.25" customHeight="1" x14ac:dyDescent="0.2">
      <c r="A61" s="13">
        <v>49</v>
      </c>
      <c r="B61" s="13">
        <v>42400000</v>
      </c>
      <c r="C61" s="13" t="s">
        <v>54</v>
      </c>
      <c r="D61" s="16">
        <f>16000+1350</f>
        <v>17350</v>
      </c>
      <c r="E61" s="13" t="s">
        <v>32</v>
      </c>
      <c r="F61" s="11" t="s">
        <v>18</v>
      </c>
      <c r="G61" s="11" t="s">
        <v>19</v>
      </c>
      <c r="H61" s="12"/>
    </row>
    <row r="62" spans="1:8" s="4" customFormat="1" ht="33.75" customHeight="1" x14ac:dyDescent="0.2">
      <c r="A62" s="13">
        <v>50</v>
      </c>
      <c r="B62" s="13">
        <v>42500000</v>
      </c>
      <c r="C62" s="13" t="s">
        <v>55</v>
      </c>
      <c r="D62" s="16">
        <f>9200+206</f>
        <v>9406</v>
      </c>
      <c r="E62" s="13" t="s">
        <v>23</v>
      </c>
      <c r="F62" s="11" t="s">
        <v>18</v>
      </c>
      <c r="G62" s="11" t="s">
        <v>19</v>
      </c>
      <c r="H62" s="12"/>
    </row>
    <row r="63" spans="1:8" s="4" customFormat="1" ht="27" customHeight="1" x14ac:dyDescent="0.2">
      <c r="A63" s="13">
        <v>51</v>
      </c>
      <c r="B63" s="13">
        <v>42600000</v>
      </c>
      <c r="C63" s="13" t="s">
        <v>56</v>
      </c>
      <c r="D63" s="10">
        <v>9900</v>
      </c>
      <c r="E63" s="13" t="s">
        <v>23</v>
      </c>
      <c r="F63" s="11" t="s">
        <v>18</v>
      </c>
      <c r="G63" s="11" t="s">
        <v>19</v>
      </c>
      <c r="H63" s="12"/>
    </row>
    <row r="64" spans="1:8" s="4" customFormat="1" ht="23.25" customHeight="1" x14ac:dyDescent="0.2">
      <c r="A64" s="13">
        <v>52</v>
      </c>
      <c r="B64" s="102">
        <v>42900000</v>
      </c>
      <c r="C64" s="102" t="s">
        <v>57</v>
      </c>
      <c r="D64" s="10">
        <f>10000+17414</f>
        <v>27414</v>
      </c>
      <c r="E64" s="13" t="s">
        <v>17</v>
      </c>
      <c r="F64" s="11" t="s">
        <v>18</v>
      </c>
      <c r="G64" s="11" t="s">
        <v>19</v>
      </c>
      <c r="H64" s="12"/>
    </row>
    <row r="65" spans="1:8" s="4" customFormat="1" ht="24.75" customHeight="1" x14ac:dyDescent="0.2">
      <c r="A65" s="13">
        <v>53</v>
      </c>
      <c r="B65" s="102"/>
      <c r="C65" s="102"/>
      <c r="D65" s="16">
        <f>36000+335</f>
        <v>36335</v>
      </c>
      <c r="E65" s="13" t="s">
        <v>32</v>
      </c>
      <c r="F65" s="11" t="s">
        <v>18</v>
      </c>
      <c r="G65" s="11" t="s">
        <v>19</v>
      </c>
      <c r="H65" s="12"/>
    </row>
    <row r="66" spans="1:8" s="4" customFormat="1" ht="27" customHeight="1" x14ac:dyDescent="0.2">
      <c r="A66" s="13">
        <v>54</v>
      </c>
      <c r="B66" s="102">
        <v>44100000</v>
      </c>
      <c r="C66" s="102" t="s">
        <v>58</v>
      </c>
      <c r="D66" s="10">
        <f>3000-250</f>
        <v>2750</v>
      </c>
      <c r="E66" s="13" t="s">
        <v>23</v>
      </c>
      <c r="F66" s="11" t="s">
        <v>18</v>
      </c>
      <c r="G66" s="11" t="s">
        <v>19</v>
      </c>
      <c r="H66" s="12"/>
    </row>
    <row r="67" spans="1:8" s="4" customFormat="1" ht="28.5" customHeight="1" x14ac:dyDescent="0.2">
      <c r="A67" s="13">
        <v>55</v>
      </c>
      <c r="B67" s="102"/>
      <c r="C67" s="102"/>
      <c r="D67" s="16">
        <v>6500</v>
      </c>
      <c r="E67" s="13" t="s">
        <v>23</v>
      </c>
      <c r="F67" s="11" t="s">
        <v>150</v>
      </c>
      <c r="G67" s="11" t="s">
        <v>151</v>
      </c>
      <c r="H67" s="12"/>
    </row>
    <row r="68" spans="1:8" s="4" customFormat="1" ht="31.5" customHeight="1" x14ac:dyDescent="0.2">
      <c r="A68" s="13">
        <v>56</v>
      </c>
      <c r="B68" s="13">
        <v>44200000</v>
      </c>
      <c r="C68" s="13" t="s">
        <v>59</v>
      </c>
      <c r="D68" s="16">
        <v>50000</v>
      </c>
      <c r="E68" s="13" t="s">
        <v>32</v>
      </c>
      <c r="F68" s="11" t="s">
        <v>18</v>
      </c>
      <c r="G68" s="11" t="s">
        <v>19</v>
      </c>
      <c r="H68" s="12"/>
    </row>
    <row r="69" spans="1:8" s="4" customFormat="1" ht="33" customHeight="1" x14ac:dyDescent="0.2">
      <c r="A69" s="13">
        <v>57</v>
      </c>
      <c r="B69" s="13">
        <v>44300000</v>
      </c>
      <c r="C69" s="13" t="s">
        <v>60</v>
      </c>
      <c r="D69" s="10">
        <f>9900-220</f>
        <v>9680</v>
      </c>
      <c r="E69" s="13" t="s">
        <v>23</v>
      </c>
      <c r="F69" s="11" t="s">
        <v>18</v>
      </c>
      <c r="G69" s="11" t="s">
        <v>19</v>
      </c>
      <c r="H69" s="13"/>
    </row>
    <row r="70" spans="1:8" s="4" customFormat="1" ht="28.5" customHeight="1" x14ac:dyDescent="0.2">
      <c r="A70" s="13">
        <v>58</v>
      </c>
      <c r="B70" s="102">
        <v>44400000</v>
      </c>
      <c r="C70" s="102" t="s">
        <v>61</v>
      </c>
      <c r="D70" s="10">
        <f>2500-155</f>
        <v>2345</v>
      </c>
      <c r="E70" s="13" t="s">
        <v>23</v>
      </c>
      <c r="F70" s="11" t="s">
        <v>18</v>
      </c>
      <c r="G70" s="11" t="s">
        <v>19</v>
      </c>
      <c r="H70" s="12"/>
    </row>
    <row r="71" spans="1:8" s="4" customFormat="1" ht="28.5" customHeight="1" x14ac:dyDescent="0.2">
      <c r="A71" s="13">
        <v>59</v>
      </c>
      <c r="B71" s="102"/>
      <c r="C71" s="102"/>
      <c r="D71" s="16">
        <f>4200+2850</f>
        <v>7050</v>
      </c>
      <c r="E71" s="13" t="s">
        <v>23</v>
      </c>
      <c r="F71" s="11" t="s">
        <v>25</v>
      </c>
      <c r="G71" s="11" t="s">
        <v>26</v>
      </c>
      <c r="H71" s="12"/>
    </row>
    <row r="72" spans="1:8" s="39" customFormat="1" ht="28.5" customHeight="1" x14ac:dyDescent="0.2">
      <c r="A72" s="13">
        <v>60</v>
      </c>
      <c r="B72" s="107">
        <v>44500000</v>
      </c>
      <c r="C72" s="102" t="s">
        <v>62</v>
      </c>
      <c r="D72" s="16">
        <f>5000+2568</f>
        <v>7568</v>
      </c>
      <c r="E72" s="13" t="s">
        <v>23</v>
      </c>
      <c r="F72" s="11" t="s">
        <v>25</v>
      </c>
      <c r="G72" s="11" t="s">
        <v>26</v>
      </c>
      <c r="H72" s="13"/>
    </row>
    <row r="73" spans="1:8" s="39" customFormat="1" ht="28.5" customHeight="1" x14ac:dyDescent="0.2">
      <c r="A73" s="13">
        <v>61</v>
      </c>
      <c r="B73" s="107"/>
      <c r="C73" s="102"/>
      <c r="D73" s="10">
        <f>460+201</f>
        <v>661</v>
      </c>
      <c r="E73" s="13" t="s">
        <v>23</v>
      </c>
      <c r="F73" s="11" t="s">
        <v>150</v>
      </c>
      <c r="G73" s="11" t="s">
        <v>151</v>
      </c>
      <c r="H73" s="13"/>
    </row>
    <row r="74" spans="1:8" s="4" customFormat="1" ht="35.25" customHeight="1" x14ac:dyDescent="0.2">
      <c r="A74" s="13">
        <v>62</v>
      </c>
      <c r="B74" s="13">
        <v>44800000</v>
      </c>
      <c r="C74" s="13" t="s">
        <v>63</v>
      </c>
      <c r="D74" s="10">
        <f>2500-1230</f>
        <v>1270</v>
      </c>
      <c r="E74" s="13" t="s">
        <v>23</v>
      </c>
      <c r="F74" s="11" t="s">
        <v>18</v>
      </c>
      <c r="G74" s="11" t="s">
        <v>19</v>
      </c>
      <c r="H74" s="12"/>
    </row>
    <row r="75" spans="1:8" s="4" customFormat="1" ht="33" customHeight="1" x14ac:dyDescent="0.2">
      <c r="A75" s="13">
        <v>63</v>
      </c>
      <c r="B75" s="13">
        <v>45200000</v>
      </c>
      <c r="C75" s="13" t="s">
        <v>64</v>
      </c>
      <c r="D75" s="16">
        <f>1262509-20156</f>
        <v>1242353</v>
      </c>
      <c r="E75" s="13" t="s">
        <v>32</v>
      </c>
      <c r="F75" s="11" t="s">
        <v>18</v>
      </c>
      <c r="G75" s="11" t="s">
        <v>19</v>
      </c>
      <c r="H75" s="12"/>
    </row>
    <row r="76" spans="1:8" s="4" customFormat="1" ht="27" customHeight="1" x14ac:dyDescent="0.2">
      <c r="A76" s="13">
        <v>64</v>
      </c>
      <c r="B76" s="13">
        <v>45300000</v>
      </c>
      <c r="C76" s="13" t="s">
        <v>65</v>
      </c>
      <c r="D76" s="58">
        <f>14816.01+500</f>
        <v>15316.01</v>
      </c>
      <c r="E76" s="13" t="s">
        <v>23</v>
      </c>
      <c r="F76" s="11" t="s">
        <v>18</v>
      </c>
      <c r="G76" s="11" t="s">
        <v>19</v>
      </c>
      <c r="H76" s="12"/>
    </row>
    <row r="77" spans="1:8" s="39" customFormat="1" ht="28.5" customHeight="1" x14ac:dyDescent="0.2">
      <c r="A77" s="13">
        <v>65</v>
      </c>
      <c r="B77" s="13">
        <v>45400000</v>
      </c>
      <c r="C77" s="13" t="s">
        <v>66</v>
      </c>
      <c r="D77" s="16">
        <f>759370-5760</f>
        <v>753610</v>
      </c>
      <c r="E77" s="13" t="s">
        <v>32</v>
      </c>
      <c r="F77" s="11" t="s">
        <v>18</v>
      </c>
      <c r="G77" s="11" t="s">
        <v>19</v>
      </c>
      <c r="H77" s="13"/>
    </row>
    <row r="78" spans="1:8" s="4" customFormat="1" ht="26.25" customHeight="1" x14ac:dyDescent="0.2">
      <c r="A78" s="13">
        <v>66</v>
      </c>
      <c r="B78" s="13">
        <v>48200000</v>
      </c>
      <c r="C78" s="13" t="s">
        <v>67</v>
      </c>
      <c r="D78" s="10">
        <v>5000</v>
      </c>
      <c r="E78" s="13" t="s">
        <v>23</v>
      </c>
      <c r="F78" s="11" t="s">
        <v>18</v>
      </c>
      <c r="G78" s="11" t="s">
        <v>19</v>
      </c>
      <c r="H78" s="12"/>
    </row>
    <row r="79" spans="1:8" s="4" customFormat="1" ht="24" customHeight="1" x14ac:dyDescent="0.2">
      <c r="A79" s="13">
        <v>67</v>
      </c>
      <c r="B79" s="102">
        <v>48600000</v>
      </c>
      <c r="C79" s="102" t="s">
        <v>68</v>
      </c>
      <c r="D79" s="10">
        <f>8250-3250</f>
        <v>5000</v>
      </c>
      <c r="E79" s="13" t="s">
        <v>23</v>
      </c>
      <c r="F79" s="11" t="s">
        <v>18</v>
      </c>
      <c r="G79" s="11" t="s">
        <v>19</v>
      </c>
      <c r="H79" s="12" t="s">
        <v>69</v>
      </c>
    </row>
    <row r="80" spans="1:8" s="4" customFormat="1" ht="24.75" customHeight="1" x14ac:dyDescent="0.2">
      <c r="A80" s="13">
        <v>68</v>
      </c>
      <c r="B80" s="102"/>
      <c r="C80" s="102"/>
      <c r="D80" s="10">
        <v>3000</v>
      </c>
      <c r="E80" s="13" t="s">
        <v>23</v>
      </c>
      <c r="F80" s="11" t="s">
        <v>18</v>
      </c>
      <c r="G80" s="11" t="s">
        <v>19</v>
      </c>
      <c r="H80" s="12"/>
    </row>
    <row r="81" spans="1:8" s="4" customFormat="1" ht="29.25" customHeight="1" x14ac:dyDescent="0.2">
      <c r="A81" s="13">
        <v>69</v>
      </c>
      <c r="B81" s="102">
        <v>50100000</v>
      </c>
      <c r="C81" s="102" t="s">
        <v>70</v>
      </c>
      <c r="D81" s="10">
        <f>730000+1285</f>
        <v>731285</v>
      </c>
      <c r="E81" s="13" t="s">
        <v>32</v>
      </c>
      <c r="F81" s="11" t="s">
        <v>18</v>
      </c>
      <c r="G81" s="11" t="s">
        <v>19</v>
      </c>
      <c r="H81" s="108"/>
    </row>
    <row r="82" spans="1:8" s="4" customFormat="1" ht="30.75" customHeight="1" x14ac:dyDescent="0.2">
      <c r="A82" s="13">
        <v>70</v>
      </c>
      <c r="B82" s="102"/>
      <c r="C82" s="102"/>
      <c r="D82" s="10">
        <f>176300+16800</f>
        <v>193100</v>
      </c>
      <c r="E82" s="13" t="s">
        <v>23</v>
      </c>
      <c r="F82" s="11" t="s">
        <v>18</v>
      </c>
      <c r="G82" s="11" t="s">
        <v>19</v>
      </c>
      <c r="H82" s="12" t="s">
        <v>71</v>
      </c>
    </row>
    <row r="83" spans="1:8" s="4" customFormat="1" ht="28.5" customHeight="1" x14ac:dyDescent="0.2">
      <c r="A83" s="13">
        <v>71</v>
      </c>
      <c r="B83" s="102"/>
      <c r="C83" s="102"/>
      <c r="D83" s="10">
        <f>118026-21467</f>
        <v>96559</v>
      </c>
      <c r="E83" s="13" t="s">
        <v>17</v>
      </c>
      <c r="F83" s="11" t="s">
        <v>18</v>
      </c>
      <c r="G83" s="11" t="s">
        <v>19</v>
      </c>
      <c r="H83" s="12" t="s">
        <v>20</v>
      </c>
    </row>
    <row r="84" spans="1:8" s="4" customFormat="1" ht="27" customHeight="1" x14ac:dyDescent="0.2">
      <c r="A84" s="13">
        <v>72</v>
      </c>
      <c r="B84" s="102"/>
      <c r="C84" s="102"/>
      <c r="D84" s="10">
        <f>40000+22700</f>
        <v>62700</v>
      </c>
      <c r="E84" s="13" t="s">
        <v>32</v>
      </c>
      <c r="F84" s="11" t="s">
        <v>18</v>
      </c>
      <c r="G84" s="11" t="s">
        <v>19</v>
      </c>
      <c r="H84" s="12" t="s">
        <v>72</v>
      </c>
    </row>
    <row r="85" spans="1:8" s="4" customFormat="1" ht="25.5" customHeight="1" x14ac:dyDescent="0.2">
      <c r="A85" s="13">
        <v>73</v>
      </c>
      <c r="B85" s="102"/>
      <c r="C85" s="102"/>
      <c r="D85" s="10">
        <v>5000</v>
      </c>
      <c r="E85" s="13" t="s">
        <v>32</v>
      </c>
      <c r="F85" s="11" t="s">
        <v>18</v>
      </c>
      <c r="G85" s="11" t="s">
        <v>19</v>
      </c>
      <c r="H85" s="12"/>
    </row>
    <row r="86" spans="1:8" s="4" customFormat="1" ht="56.25" customHeight="1" x14ac:dyDescent="0.2">
      <c r="A86" s="13">
        <v>74</v>
      </c>
      <c r="B86" s="13">
        <v>50300000</v>
      </c>
      <c r="C86" s="13" t="s">
        <v>73</v>
      </c>
      <c r="D86" s="10">
        <f>10000-3078</f>
        <v>6922</v>
      </c>
      <c r="E86" s="13" t="s">
        <v>32</v>
      </c>
      <c r="F86" s="11" t="s">
        <v>18</v>
      </c>
      <c r="G86" s="11" t="s">
        <v>19</v>
      </c>
      <c r="H86" s="12"/>
    </row>
    <row r="87" spans="1:8" s="4" customFormat="1" ht="49.5" customHeight="1" x14ac:dyDescent="0.2">
      <c r="A87" s="13">
        <v>75</v>
      </c>
      <c r="B87" s="13">
        <v>50500000</v>
      </c>
      <c r="C87" s="13" t="s">
        <v>74</v>
      </c>
      <c r="D87" s="10">
        <v>9900</v>
      </c>
      <c r="E87" s="13" t="s">
        <v>23</v>
      </c>
      <c r="F87" s="11" t="s">
        <v>18</v>
      </c>
      <c r="G87" s="11" t="s">
        <v>19</v>
      </c>
      <c r="H87" s="12"/>
    </row>
    <row r="88" spans="1:8" s="4" customFormat="1" ht="39" customHeight="1" x14ac:dyDescent="0.2">
      <c r="A88" s="13">
        <v>76</v>
      </c>
      <c r="B88" s="13">
        <v>50700000</v>
      </c>
      <c r="C88" s="13" t="s">
        <v>75</v>
      </c>
      <c r="D88" s="10">
        <f>25000-3000</f>
        <v>22000</v>
      </c>
      <c r="E88" s="13" t="s">
        <v>32</v>
      </c>
      <c r="F88" s="11" t="s">
        <v>18</v>
      </c>
      <c r="G88" s="11" t="s">
        <v>19</v>
      </c>
      <c r="H88" s="12"/>
    </row>
    <row r="89" spans="1:8" s="66" customFormat="1" ht="30.75" customHeight="1" x14ac:dyDescent="0.2">
      <c r="A89" s="13">
        <v>77</v>
      </c>
      <c r="B89" s="102">
        <v>55300000</v>
      </c>
      <c r="C89" s="102" t="s">
        <v>76</v>
      </c>
      <c r="D89" s="10">
        <v>10000</v>
      </c>
      <c r="E89" s="13" t="s">
        <v>23</v>
      </c>
      <c r="F89" s="11" t="s">
        <v>18</v>
      </c>
      <c r="G89" s="11" t="s">
        <v>19</v>
      </c>
      <c r="H89" s="12" t="s">
        <v>28</v>
      </c>
    </row>
    <row r="90" spans="1:8" s="66" customFormat="1" ht="36.75" customHeight="1" x14ac:dyDescent="0.2">
      <c r="A90" s="13">
        <v>78</v>
      </c>
      <c r="B90" s="102"/>
      <c r="C90" s="102"/>
      <c r="D90" s="10">
        <v>9000</v>
      </c>
      <c r="E90" s="13" t="s">
        <v>23</v>
      </c>
      <c r="F90" s="11" t="s">
        <v>18</v>
      </c>
      <c r="G90" s="11" t="s">
        <v>19</v>
      </c>
      <c r="H90" s="12"/>
    </row>
    <row r="91" spans="1:8" s="4" customFormat="1" ht="36" customHeight="1" x14ac:dyDescent="0.2">
      <c r="A91" s="13">
        <v>79</v>
      </c>
      <c r="B91" s="13">
        <v>60100000</v>
      </c>
      <c r="C91" s="13" t="s">
        <v>77</v>
      </c>
      <c r="D91" s="10">
        <f>9900-3625</f>
        <v>6275</v>
      </c>
      <c r="E91" s="13" t="s">
        <v>23</v>
      </c>
      <c r="F91" s="11" t="s">
        <v>18</v>
      </c>
      <c r="G91" s="11" t="s">
        <v>19</v>
      </c>
      <c r="H91" s="12"/>
    </row>
    <row r="92" spans="1:8" s="4" customFormat="1" ht="36" customHeight="1" x14ac:dyDescent="0.2">
      <c r="A92" s="13">
        <v>80</v>
      </c>
      <c r="B92" s="13">
        <v>63100000</v>
      </c>
      <c r="C92" s="13" t="s">
        <v>78</v>
      </c>
      <c r="D92" s="10">
        <f>29370-9209</f>
        <v>20161</v>
      </c>
      <c r="E92" s="13" t="s">
        <v>32</v>
      </c>
      <c r="F92" s="11" t="s">
        <v>18</v>
      </c>
      <c r="G92" s="11" t="s">
        <v>19</v>
      </c>
      <c r="H92" s="12"/>
    </row>
    <row r="93" spans="1:8" s="66" customFormat="1" ht="26.25" customHeight="1" x14ac:dyDescent="0.2">
      <c r="A93" s="13">
        <v>81</v>
      </c>
      <c r="B93" s="102">
        <v>63700000</v>
      </c>
      <c r="C93" s="102" t="s">
        <v>79</v>
      </c>
      <c r="D93" s="10">
        <v>22567</v>
      </c>
      <c r="E93" s="13" t="s">
        <v>32</v>
      </c>
      <c r="F93" s="11" t="s">
        <v>18</v>
      </c>
      <c r="G93" s="11" t="s">
        <v>19</v>
      </c>
      <c r="H93" s="108"/>
    </row>
    <row r="94" spans="1:8" s="66" customFormat="1" ht="26.25" customHeight="1" x14ac:dyDescent="0.2">
      <c r="A94" s="13">
        <v>82</v>
      </c>
      <c r="B94" s="102"/>
      <c r="C94" s="102"/>
      <c r="D94" s="16">
        <f>1100+4950</f>
        <v>6050</v>
      </c>
      <c r="E94" s="13" t="s">
        <v>32</v>
      </c>
      <c r="F94" s="11" t="s">
        <v>18</v>
      </c>
      <c r="G94" s="11" t="s">
        <v>19</v>
      </c>
      <c r="H94" s="108"/>
    </row>
    <row r="95" spans="1:8" s="66" customFormat="1" ht="33.75" customHeight="1" x14ac:dyDescent="0.2">
      <c r="A95" s="13">
        <v>83</v>
      </c>
      <c r="B95" s="13">
        <v>64100000</v>
      </c>
      <c r="C95" s="13" t="s">
        <v>80</v>
      </c>
      <c r="D95" s="10">
        <f>27000+2548</f>
        <v>29548</v>
      </c>
      <c r="E95" s="13" t="s">
        <v>32</v>
      </c>
      <c r="F95" s="11" t="s">
        <v>18</v>
      </c>
      <c r="G95" s="11" t="s">
        <v>19</v>
      </c>
      <c r="H95" s="12"/>
    </row>
    <row r="96" spans="1:8" s="4" customFormat="1" ht="30" customHeight="1" x14ac:dyDescent="0.2">
      <c r="A96" s="13">
        <v>84</v>
      </c>
      <c r="B96" s="102">
        <v>64200000</v>
      </c>
      <c r="C96" s="102" t="s">
        <v>81</v>
      </c>
      <c r="D96" s="10">
        <f>42000-2000</f>
        <v>40000</v>
      </c>
      <c r="E96" s="13" t="s">
        <v>17</v>
      </c>
      <c r="F96" s="11" t="s">
        <v>18</v>
      </c>
      <c r="G96" s="11" t="s">
        <v>19</v>
      </c>
      <c r="H96" s="12" t="s">
        <v>20</v>
      </c>
    </row>
    <row r="97" spans="1:8" s="4" customFormat="1" ht="29.25" customHeight="1" x14ac:dyDescent="0.2">
      <c r="A97" s="13">
        <v>85</v>
      </c>
      <c r="B97" s="102"/>
      <c r="C97" s="102"/>
      <c r="D97" s="10">
        <v>850</v>
      </c>
      <c r="E97" s="13" t="s">
        <v>23</v>
      </c>
      <c r="F97" s="11" t="s">
        <v>18</v>
      </c>
      <c r="G97" s="11" t="s">
        <v>19</v>
      </c>
      <c r="H97" s="12" t="s">
        <v>82</v>
      </c>
    </row>
    <row r="98" spans="1:8" s="4" customFormat="1" ht="31.5" customHeight="1" x14ac:dyDescent="0.2">
      <c r="A98" s="13">
        <v>86</v>
      </c>
      <c r="B98" s="102"/>
      <c r="C98" s="102"/>
      <c r="D98" s="10">
        <v>1300</v>
      </c>
      <c r="E98" s="13" t="s">
        <v>23</v>
      </c>
      <c r="F98" s="11" t="s">
        <v>18</v>
      </c>
      <c r="G98" s="11" t="s">
        <v>19</v>
      </c>
      <c r="H98" s="12"/>
    </row>
    <row r="99" spans="1:8" s="4" customFormat="1" ht="33" customHeight="1" x14ac:dyDescent="0.2">
      <c r="A99" s="13">
        <v>87</v>
      </c>
      <c r="B99" s="102"/>
      <c r="C99" s="102"/>
      <c r="D99" s="10">
        <f>20000-5000</f>
        <v>15000</v>
      </c>
      <c r="E99" s="13" t="s">
        <v>23</v>
      </c>
      <c r="F99" s="11" t="s">
        <v>18</v>
      </c>
      <c r="G99" s="11" t="s">
        <v>19</v>
      </c>
      <c r="H99" s="12" t="s">
        <v>83</v>
      </c>
    </row>
    <row r="100" spans="1:8" s="4" customFormat="1" ht="33.75" customHeight="1" x14ac:dyDescent="0.2">
      <c r="A100" s="13">
        <v>88</v>
      </c>
      <c r="B100" s="69">
        <v>65300000</v>
      </c>
      <c r="C100" s="69" t="s">
        <v>160</v>
      </c>
      <c r="D100" s="16">
        <v>700</v>
      </c>
      <c r="E100" s="13" t="s">
        <v>23</v>
      </c>
      <c r="F100" s="11" t="s">
        <v>150</v>
      </c>
      <c r="G100" s="11" t="s">
        <v>151</v>
      </c>
      <c r="H100" s="13"/>
    </row>
    <row r="101" spans="1:8" s="4" customFormat="1" ht="36.75" customHeight="1" x14ac:dyDescent="0.2">
      <c r="A101" s="13">
        <v>89</v>
      </c>
      <c r="B101" s="102">
        <v>66500000</v>
      </c>
      <c r="C101" s="102" t="s">
        <v>84</v>
      </c>
      <c r="D101" s="109">
        <f>300000-22563</f>
        <v>277437</v>
      </c>
      <c r="E101" s="13" t="s">
        <v>32</v>
      </c>
      <c r="F101" s="11" t="s">
        <v>18</v>
      </c>
      <c r="G101" s="11" t="s">
        <v>19</v>
      </c>
      <c r="H101" s="12"/>
    </row>
    <row r="102" spans="1:8" s="4" customFormat="1" ht="36.75" customHeight="1" x14ac:dyDescent="0.2">
      <c r="A102" s="13">
        <v>90</v>
      </c>
      <c r="B102" s="102"/>
      <c r="C102" s="102"/>
      <c r="D102" s="109">
        <v>22563</v>
      </c>
      <c r="E102" s="13" t="s">
        <v>23</v>
      </c>
      <c r="F102" s="11" t="s">
        <v>18</v>
      </c>
      <c r="G102" s="11" t="s">
        <v>19</v>
      </c>
      <c r="H102" s="12" t="s">
        <v>33</v>
      </c>
    </row>
    <row r="103" spans="1:8" s="4" customFormat="1" ht="38.25" customHeight="1" x14ac:dyDescent="0.2">
      <c r="A103" s="13">
        <v>91</v>
      </c>
      <c r="B103" s="102">
        <v>72200000</v>
      </c>
      <c r="C103" s="102" t="s">
        <v>85</v>
      </c>
      <c r="D103" s="10">
        <f>376376+30655</f>
        <v>407031</v>
      </c>
      <c r="E103" s="13" t="s">
        <v>23</v>
      </c>
      <c r="F103" s="11" t="s">
        <v>18</v>
      </c>
      <c r="G103" s="11" t="s">
        <v>19</v>
      </c>
      <c r="H103" s="12" t="s">
        <v>69</v>
      </c>
    </row>
    <row r="104" spans="1:8" s="4" customFormat="1" ht="30.75" customHeight="1" x14ac:dyDescent="0.2">
      <c r="A104" s="13">
        <v>92</v>
      </c>
      <c r="B104" s="102"/>
      <c r="C104" s="102"/>
      <c r="D104" s="10">
        <v>5000</v>
      </c>
      <c r="E104" s="13" t="s">
        <v>23</v>
      </c>
      <c r="F104" s="11" t="s">
        <v>18</v>
      </c>
      <c r="G104" s="11" t="s">
        <v>19</v>
      </c>
      <c r="H104" s="12" t="s">
        <v>86</v>
      </c>
    </row>
    <row r="105" spans="1:8" s="4" customFormat="1" ht="31.5" customHeight="1" x14ac:dyDescent="0.2">
      <c r="A105" s="13">
        <v>93</v>
      </c>
      <c r="B105" s="13">
        <v>72400000</v>
      </c>
      <c r="C105" s="13" t="s">
        <v>87</v>
      </c>
      <c r="D105" s="10">
        <f>356944+3745</f>
        <v>360689</v>
      </c>
      <c r="E105" s="13" t="s">
        <v>88</v>
      </c>
      <c r="F105" s="11" t="s">
        <v>18</v>
      </c>
      <c r="G105" s="11" t="s">
        <v>19</v>
      </c>
      <c r="H105" s="12" t="s">
        <v>86</v>
      </c>
    </row>
    <row r="106" spans="1:8" s="4" customFormat="1" ht="31.5" customHeight="1" x14ac:dyDescent="0.2">
      <c r="A106" s="13">
        <v>94</v>
      </c>
      <c r="B106" s="13">
        <v>75100000</v>
      </c>
      <c r="C106" s="13" t="s">
        <v>89</v>
      </c>
      <c r="D106" s="10">
        <v>3200</v>
      </c>
      <c r="E106" s="13" t="s">
        <v>23</v>
      </c>
      <c r="F106" s="11" t="s">
        <v>18</v>
      </c>
      <c r="G106" s="11" t="s">
        <v>19</v>
      </c>
      <c r="H106" s="12" t="s">
        <v>69</v>
      </c>
    </row>
    <row r="107" spans="1:8" s="4" customFormat="1" ht="35.25" customHeight="1" x14ac:dyDescent="0.2">
      <c r="A107" s="13">
        <v>95</v>
      </c>
      <c r="B107" s="13">
        <v>76400000</v>
      </c>
      <c r="C107" s="13" t="s">
        <v>90</v>
      </c>
      <c r="D107" s="16">
        <v>3000</v>
      </c>
      <c r="E107" s="13" t="s">
        <v>23</v>
      </c>
      <c r="F107" s="11" t="s">
        <v>25</v>
      </c>
      <c r="G107" s="11" t="s">
        <v>26</v>
      </c>
      <c r="H107" s="12"/>
    </row>
    <row r="108" spans="1:8" s="4" customFormat="1" ht="33" customHeight="1" x14ac:dyDescent="0.2">
      <c r="A108" s="13">
        <v>96</v>
      </c>
      <c r="B108" s="13">
        <v>77200000</v>
      </c>
      <c r="C108" s="13" t="s">
        <v>91</v>
      </c>
      <c r="D108" s="10">
        <f>979500+4000</f>
        <v>983500</v>
      </c>
      <c r="E108" s="13" t="s">
        <v>32</v>
      </c>
      <c r="F108" s="11" t="s">
        <v>18</v>
      </c>
      <c r="G108" s="11" t="s">
        <v>19</v>
      </c>
      <c r="H108" s="12"/>
    </row>
    <row r="109" spans="1:8" s="4" customFormat="1" ht="35.25" customHeight="1" x14ac:dyDescent="0.2">
      <c r="A109" s="13">
        <v>97</v>
      </c>
      <c r="B109" s="13">
        <v>79300000</v>
      </c>
      <c r="C109" s="13" t="s">
        <v>164</v>
      </c>
      <c r="D109" s="10">
        <v>8000</v>
      </c>
      <c r="E109" s="13" t="s">
        <v>23</v>
      </c>
      <c r="F109" s="11" t="s">
        <v>97</v>
      </c>
      <c r="G109" s="11" t="s">
        <v>97</v>
      </c>
      <c r="H109" s="12"/>
    </row>
    <row r="110" spans="1:8" s="4" customFormat="1" ht="36" customHeight="1" x14ac:dyDescent="0.2">
      <c r="A110" s="13">
        <v>98</v>
      </c>
      <c r="B110" s="13">
        <v>79700000</v>
      </c>
      <c r="C110" s="13" t="s">
        <v>92</v>
      </c>
      <c r="D110" s="10">
        <f>250000+22600</f>
        <v>272600</v>
      </c>
      <c r="E110" s="13" t="s">
        <v>23</v>
      </c>
      <c r="F110" s="11" t="s">
        <v>18</v>
      </c>
      <c r="G110" s="11" t="s">
        <v>19</v>
      </c>
      <c r="H110" s="12" t="s">
        <v>82</v>
      </c>
    </row>
    <row r="111" spans="1:8" s="4" customFormat="1" ht="35.25" customHeight="1" x14ac:dyDescent="0.2">
      <c r="A111" s="13">
        <v>99</v>
      </c>
      <c r="B111" s="13">
        <v>79900000</v>
      </c>
      <c r="C111" s="13" t="s">
        <v>93</v>
      </c>
      <c r="D111" s="10">
        <f>9920-8000</f>
        <v>1920</v>
      </c>
      <c r="E111" s="13" t="s">
        <v>23</v>
      </c>
      <c r="F111" s="11" t="s">
        <v>18</v>
      </c>
      <c r="G111" s="11" t="s">
        <v>19</v>
      </c>
      <c r="H111" s="12"/>
    </row>
    <row r="112" spans="1:8" s="4" customFormat="1" ht="33" customHeight="1" x14ac:dyDescent="0.2">
      <c r="A112" s="13">
        <v>100</v>
      </c>
      <c r="B112" s="13">
        <v>80500000</v>
      </c>
      <c r="C112" s="13" t="s">
        <v>94</v>
      </c>
      <c r="D112" s="10">
        <f>1500+8040</f>
        <v>9540</v>
      </c>
      <c r="E112" s="13" t="s">
        <v>23</v>
      </c>
      <c r="F112" s="11" t="s">
        <v>18</v>
      </c>
      <c r="G112" s="11" t="s">
        <v>19</v>
      </c>
      <c r="H112" s="12"/>
    </row>
    <row r="113" spans="1:8" s="4" customFormat="1" ht="35.25" customHeight="1" x14ac:dyDescent="0.2">
      <c r="A113" s="13">
        <v>101</v>
      </c>
      <c r="B113" s="13">
        <v>90900000</v>
      </c>
      <c r="C113" s="13" t="s">
        <v>95</v>
      </c>
      <c r="D113" s="10">
        <f>185000-3001</f>
        <v>181999</v>
      </c>
      <c r="E113" s="13" t="s">
        <v>32</v>
      </c>
      <c r="F113" s="11" t="s">
        <v>18</v>
      </c>
      <c r="G113" s="11" t="s">
        <v>19</v>
      </c>
      <c r="H113" s="12"/>
    </row>
    <row r="114" spans="1:8" s="4" customFormat="1" ht="27" customHeight="1" x14ac:dyDescent="0.2">
      <c r="A114" s="13">
        <v>102</v>
      </c>
      <c r="B114" s="13">
        <v>92100000</v>
      </c>
      <c r="C114" s="13" t="s">
        <v>96</v>
      </c>
      <c r="D114" s="10">
        <f>7901+2089</f>
        <v>9990</v>
      </c>
      <c r="E114" s="13" t="s">
        <v>23</v>
      </c>
      <c r="F114" s="11" t="s">
        <v>97</v>
      </c>
      <c r="G114" s="11" t="s">
        <v>97</v>
      </c>
      <c r="H114" s="12"/>
    </row>
    <row r="115" spans="1:8" s="4" customFormat="1" ht="36" customHeight="1" x14ac:dyDescent="0.2">
      <c r="A115" s="13">
        <v>103</v>
      </c>
      <c r="B115" s="13">
        <v>92200000</v>
      </c>
      <c r="C115" s="13" t="s">
        <v>98</v>
      </c>
      <c r="D115" s="10">
        <v>4000</v>
      </c>
      <c r="E115" s="13" t="s">
        <v>23</v>
      </c>
      <c r="F115" s="11" t="s">
        <v>18</v>
      </c>
      <c r="G115" s="11" t="s">
        <v>19</v>
      </c>
      <c r="H115" s="12"/>
    </row>
    <row r="116" spans="1:8" s="4" customFormat="1" ht="33" customHeight="1" x14ac:dyDescent="0.2">
      <c r="A116" s="13">
        <v>104</v>
      </c>
      <c r="B116" s="13">
        <v>92400000</v>
      </c>
      <c r="C116" s="13" t="s">
        <v>99</v>
      </c>
      <c r="D116" s="10">
        <v>4800</v>
      </c>
      <c r="E116" s="13" t="s">
        <v>23</v>
      </c>
      <c r="F116" s="11" t="s">
        <v>18</v>
      </c>
      <c r="G116" s="11" t="s">
        <v>19</v>
      </c>
      <c r="H116" s="12"/>
    </row>
    <row r="117" spans="1:8" s="4" customFormat="1" ht="39" customHeight="1" x14ac:dyDescent="0.2">
      <c r="A117" s="13">
        <v>105</v>
      </c>
      <c r="B117" s="13">
        <v>92500000</v>
      </c>
      <c r="C117" s="13" t="s">
        <v>100</v>
      </c>
      <c r="D117" s="10">
        <v>44000</v>
      </c>
      <c r="E117" s="13" t="s">
        <v>23</v>
      </c>
      <c r="F117" s="11" t="s">
        <v>18</v>
      </c>
      <c r="G117" s="11" t="s">
        <v>19</v>
      </c>
      <c r="H117" s="12" t="s">
        <v>69</v>
      </c>
    </row>
    <row r="118" spans="1:8" x14ac:dyDescent="0.2">
      <c r="C118" s="70"/>
      <c r="D118" s="20"/>
      <c r="E118" s="18"/>
      <c r="F118" s="110"/>
      <c r="G118" s="111"/>
    </row>
    <row r="119" spans="1:8" x14ac:dyDescent="0.2">
      <c r="C119" s="112"/>
      <c r="D119" s="20"/>
      <c r="E119" s="18"/>
      <c r="F119" s="110"/>
      <c r="G119" s="111"/>
    </row>
    <row r="120" spans="1:8" ht="27.75" customHeight="1" x14ac:dyDescent="0.2">
      <c r="A120" s="4"/>
      <c r="B120" s="97" t="s">
        <v>101</v>
      </c>
      <c r="C120" s="97"/>
      <c r="D120" s="21"/>
      <c r="E120" s="18"/>
      <c r="F120" s="18"/>
    </row>
    <row r="121" spans="1:8" ht="13.5" customHeight="1" x14ac:dyDescent="0.2">
      <c r="A121" s="4"/>
      <c r="B121" s="4"/>
      <c r="D121" s="22"/>
      <c r="E121" s="98" t="s">
        <v>102</v>
      </c>
      <c r="F121" s="98"/>
    </row>
    <row r="122" spans="1:8" ht="15" customHeight="1" x14ac:dyDescent="0.2">
      <c r="A122" s="4"/>
      <c r="B122" s="4"/>
      <c r="H122" s="18"/>
    </row>
    <row r="123" spans="1:8" ht="31.5" customHeight="1" x14ac:dyDescent="0.2">
      <c r="A123" s="4"/>
      <c r="B123" s="97" t="s">
        <v>103</v>
      </c>
      <c r="C123" s="97"/>
      <c r="D123" s="65"/>
      <c r="H123" s="18"/>
    </row>
    <row r="124" spans="1:8" x14ac:dyDescent="0.2">
      <c r="A124" s="4"/>
      <c r="B124" s="4"/>
      <c r="E124" s="98" t="s">
        <v>102</v>
      </c>
      <c r="F124" s="98"/>
    </row>
    <row r="125" spans="1:8" ht="15" customHeight="1" x14ac:dyDescent="0.2">
      <c r="A125" s="4"/>
      <c r="B125" s="4"/>
      <c r="D125" s="59"/>
      <c r="H125" s="18"/>
    </row>
    <row r="126" spans="1:8" ht="50.25" customHeight="1" x14ac:dyDescent="0.2">
      <c r="A126" s="4"/>
      <c r="B126" s="4"/>
    </row>
    <row r="130" spans="1:5" x14ac:dyDescent="0.2">
      <c r="A130" s="4"/>
      <c r="B130" s="4"/>
    </row>
    <row r="131" spans="1:5" x14ac:dyDescent="0.2">
      <c r="A131" s="4"/>
      <c r="B131" s="4"/>
      <c r="C131" s="70"/>
    </row>
    <row r="132" spans="1:5" x14ac:dyDescent="0.2">
      <c r="A132" s="4"/>
      <c r="B132" s="4"/>
      <c r="C132" s="70"/>
      <c r="E132" s="70"/>
    </row>
    <row r="133" spans="1:5" ht="19.5" customHeight="1" x14ac:dyDescent="0.2">
      <c r="A133" s="4"/>
      <c r="B133" s="4"/>
      <c r="C133" s="70"/>
    </row>
    <row r="134" spans="1:5" x14ac:dyDescent="0.2">
      <c r="A134" s="4"/>
      <c r="B134" s="4"/>
    </row>
    <row r="135" spans="1:5" ht="24.75" customHeight="1" x14ac:dyDescent="0.2">
      <c r="A135" s="4"/>
      <c r="B135" s="4"/>
      <c r="C135" s="18"/>
    </row>
    <row r="136" spans="1:5" ht="22.5" customHeight="1" x14ac:dyDescent="0.2">
      <c r="A136" s="4"/>
      <c r="B136" s="4"/>
    </row>
    <row r="137" spans="1:5" x14ac:dyDescent="0.2">
      <c r="A137" s="4"/>
      <c r="B137" s="4"/>
      <c r="C137" s="24"/>
    </row>
    <row r="144" spans="1:5" x14ac:dyDescent="0.2">
      <c r="A144" s="4"/>
      <c r="B144" s="4"/>
    </row>
  </sheetData>
  <sheetProtection algorithmName="SHA-512" hashValue="iT15l05Y/bTBbYtL/8B1rEiWpu5MynR6bKBvPsCyqEX0U7Aqs75vmhRKPR5moZELctvj3VnX/j3U82D5HJtyoA==" saltValue="k2MPzlYx1g1nw33fKY+2ZQ==" spinCount="100000" sheet="1" objects="1" scenarios="1"/>
  <mergeCells count="57">
    <mergeCell ref="B123:C123"/>
    <mergeCell ref="E124:F124"/>
    <mergeCell ref="B70:B71"/>
    <mergeCell ref="C70:C71"/>
    <mergeCell ref="B72:B73"/>
    <mergeCell ref="C72:C73"/>
    <mergeCell ref="B79:B80"/>
    <mergeCell ref="C79:C80"/>
    <mergeCell ref="B40:B42"/>
    <mergeCell ref="C40:C42"/>
    <mergeCell ref="B43:B44"/>
    <mergeCell ref="C43:C44"/>
    <mergeCell ref="B54:B56"/>
    <mergeCell ref="C54:C56"/>
    <mergeCell ref="B120:C120"/>
    <mergeCell ref="E121:F121"/>
    <mergeCell ref="B101:B102"/>
    <mergeCell ref="C101:C102"/>
    <mergeCell ref="B96:B99"/>
    <mergeCell ref="C96:C99"/>
    <mergeCell ref="B103:B104"/>
    <mergeCell ref="C103:C104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13:B14"/>
    <mergeCell ref="C13:C14"/>
    <mergeCell ref="B19:B20"/>
    <mergeCell ref="C19:C20"/>
    <mergeCell ref="B21:B22"/>
    <mergeCell ref="C21:C22"/>
    <mergeCell ref="B26:B27"/>
    <mergeCell ref="C26:C27"/>
    <mergeCell ref="B28:B31"/>
    <mergeCell ref="C28:C31"/>
    <mergeCell ref="B32:B33"/>
    <mergeCell ref="C32:C33"/>
    <mergeCell ref="B35:B37"/>
    <mergeCell ref="C35:C37"/>
    <mergeCell ref="B66:B67"/>
    <mergeCell ref="C66:C67"/>
    <mergeCell ref="B59:B60"/>
    <mergeCell ref="C59:C60"/>
    <mergeCell ref="B64:B65"/>
    <mergeCell ref="C64:C65"/>
    <mergeCell ref="B89:B90"/>
    <mergeCell ref="C89:C90"/>
    <mergeCell ref="B81:B85"/>
    <mergeCell ref="C81:C85"/>
    <mergeCell ref="B93:B94"/>
    <mergeCell ref="C93:C94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5"/>
  <sheetViews>
    <sheetView workbookViewId="0">
      <selection activeCell="N14" sqref="N14"/>
    </sheetView>
  </sheetViews>
  <sheetFormatPr defaultRowHeight="13.5" x14ac:dyDescent="0.2"/>
  <cols>
    <col min="1" max="1" width="3.85546875" style="66" customWidth="1"/>
    <col min="2" max="2" width="10" style="66" customWidth="1"/>
    <col min="3" max="3" width="53.7109375" style="4" customWidth="1"/>
    <col min="4" max="4" width="12.28515625" style="1" customWidth="1"/>
    <col min="5" max="5" width="10.42578125" style="4" customWidth="1"/>
    <col min="6" max="6" width="12.5703125" style="4" customWidth="1"/>
    <col min="7" max="7" width="16.42578125" style="4" customWidth="1"/>
    <col min="8" max="8" width="56.5703125" style="4" customWidth="1"/>
    <col min="9" max="16384" width="9.140625" style="5"/>
  </cols>
  <sheetData>
    <row r="1" spans="1:8" ht="18" customHeight="1" x14ac:dyDescent="0.2"/>
    <row r="2" spans="1:8" s="7" customFormat="1" ht="23.25" customHeight="1" x14ac:dyDescent="0.2">
      <c r="A2" s="4"/>
      <c r="B2" s="4"/>
      <c r="C2" s="4"/>
      <c r="D2" s="1"/>
      <c r="E2" s="4"/>
      <c r="F2" s="4"/>
      <c r="G2" s="4"/>
      <c r="H2" s="6" t="s">
        <v>104</v>
      </c>
    </row>
    <row r="3" spans="1:8" s="7" customFormat="1" ht="20.25" customHeight="1" x14ac:dyDescent="0.2">
      <c r="A3" s="4"/>
      <c r="B3" s="4"/>
      <c r="C3" s="75" t="s">
        <v>1</v>
      </c>
      <c r="D3" s="75"/>
      <c r="E3" s="75"/>
      <c r="F3" s="75"/>
      <c r="G3" s="75"/>
      <c r="H3" s="4"/>
    </row>
    <row r="4" spans="1:8" s="56" customFormat="1" ht="26.25" customHeight="1" x14ac:dyDescent="0.2">
      <c r="A4" s="76" t="s">
        <v>165</v>
      </c>
      <c r="B4" s="77"/>
      <c r="C4" s="77"/>
      <c r="D4" s="77"/>
      <c r="E4" s="78"/>
      <c r="F4" s="76" t="s">
        <v>2</v>
      </c>
      <c r="G4" s="77"/>
      <c r="H4" s="78"/>
    </row>
    <row r="5" spans="1:8" s="56" customFormat="1" ht="18.75" customHeight="1" x14ac:dyDescent="0.2">
      <c r="A5" s="79"/>
      <c r="B5" s="80"/>
      <c r="C5" s="80"/>
      <c r="D5" s="80"/>
      <c r="E5" s="81"/>
      <c r="F5" s="85">
        <v>204578581</v>
      </c>
      <c r="G5" s="86"/>
      <c r="H5" s="87"/>
    </row>
    <row r="6" spans="1:8" s="56" customFormat="1" ht="22.5" customHeight="1" x14ac:dyDescent="0.2">
      <c r="A6" s="76" t="s">
        <v>3</v>
      </c>
      <c r="B6" s="77"/>
      <c r="C6" s="77"/>
      <c r="D6" s="77"/>
      <c r="E6" s="78"/>
      <c r="F6" s="76" t="s">
        <v>105</v>
      </c>
      <c r="G6" s="88"/>
      <c r="H6" s="89"/>
    </row>
    <row r="7" spans="1:8" s="56" customFormat="1" ht="21.75" customHeight="1" x14ac:dyDescent="0.2">
      <c r="A7" s="85" t="s">
        <v>5</v>
      </c>
      <c r="B7" s="86"/>
      <c r="C7" s="86"/>
      <c r="D7" s="86"/>
      <c r="E7" s="87"/>
      <c r="F7" s="90"/>
      <c r="G7" s="91"/>
      <c r="H7" s="92"/>
    </row>
    <row r="8" spans="1:8" s="56" customFormat="1" ht="21" customHeight="1" x14ac:dyDescent="0.2">
      <c r="A8" s="76" t="s">
        <v>6</v>
      </c>
      <c r="B8" s="77"/>
      <c r="C8" s="77"/>
      <c r="D8" s="77"/>
      <c r="E8" s="77"/>
      <c r="F8" s="77"/>
      <c r="G8" s="77"/>
      <c r="H8" s="78"/>
    </row>
    <row r="9" spans="1:8" s="66" customFormat="1" ht="15.75" customHeight="1" x14ac:dyDescent="0.2">
      <c r="A9" s="113">
        <f>36536065-2928000</f>
        <v>33608065</v>
      </c>
      <c r="B9" s="114"/>
      <c r="C9" s="114"/>
      <c r="D9" s="114"/>
      <c r="E9" s="114"/>
      <c r="F9" s="114"/>
      <c r="G9" s="114"/>
      <c r="H9" s="114"/>
    </row>
    <row r="10" spans="1:8" s="66" customFormat="1" ht="57" customHeight="1" x14ac:dyDescent="0.2">
      <c r="A10" s="13" t="s">
        <v>7</v>
      </c>
      <c r="B10" s="13" t="s">
        <v>8</v>
      </c>
      <c r="C10" s="13" t="s">
        <v>9</v>
      </c>
      <c r="D10" s="9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</row>
    <row r="11" spans="1:8" s="66" customFormat="1" ht="15" customHeight="1" x14ac:dyDescent="0.2">
      <c r="A11" s="13">
        <v>1</v>
      </c>
      <c r="B11" s="13">
        <v>2</v>
      </c>
      <c r="C11" s="13">
        <v>3</v>
      </c>
      <c r="D11" s="10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s="4" customFormat="1" ht="27.75" customHeight="1" x14ac:dyDescent="0.2">
      <c r="A12" s="13">
        <v>1</v>
      </c>
      <c r="B12" s="13" t="s">
        <v>106</v>
      </c>
      <c r="C12" s="13" t="s">
        <v>107</v>
      </c>
      <c r="D12" s="10">
        <f>8630+1200</f>
        <v>9830</v>
      </c>
      <c r="E12" s="13" t="s">
        <v>23</v>
      </c>
      <c r="F12" s="11" t="s">
        <v>18</v>
      </c>
      <c r="G12" s="11" t="s">
        <v>19</v>
      </c>
      <c r="H12" s="12"/>
    </row>
    <row r="13" spans="1:8" s="4" customFormat="1" ht="33" customHeight="1" x14ac:dyDescent="0.2">
      <c r="A13" s="13">
        <v>2</v>
      </c>
      <c r="B13" s="11" t="s">
        <v>15</v>
      </c>
      <c r="C13" s="13" t="s">
        <v>16</v>
      </c>
      <c r="D13" s="10">
        <f>1017050+450000</f>
        <v>1467050</v>
      </c>
      <c r="E13" s="13" t="s">
        <v>17</v>
      </c>
      <c r="F13" s="11" t="s">
        <v>18</v>
      </c>
      <c r="G13" s="11" t="s">
        <v>19</v>
      </c>
      <c r="H13" s="12" t="s">
        <v>20</v>
      </c>
    </row>
    <row r="14" spans="1:8" s="4" customFormat="1" ht="35.25" customHeight="1" x14ac:dyDescent="0.2">
      <c r="A14" s="13">
        <v>3</v>
      </c>
      <c r="B14" s="115" t="s">
        <v>108</v>
      </c>
      <c r="C14" s="68" t="s">
        <v>22</v>
      </c>
      <c r="D14" s="10">
        <v>9900</v>
      </c>
      <c r="E14" s="13" t="s">
        <v>23</v>
      </c>
      <c r="F14" s="11" t="s">
        <v>18</v>
      </c>
      <c r="G14" s="11" t="s">
        <v>19</v>
      </c>
      <c r="H14" s="12"/>
    </row>
    <row r="15" spans="1:8" s="4" customFormat="1" ht="33" customHeight="1" x14ac:dyDescent="0.2">
      <c r="A15" s="13">
        <v>4</v>
      </c>
      <c r="B15" s="13">
        <v>14200000</v>
      </c>
      <c r="C15" s="13" t="s">
        <v>24</v>
      </c>
      <c r="D15" s="10">
        <v>9900</v>
      </c>
      <c r="E15" s="13" t="s">
        <v>23</v>
      </c>
      <c r="F15" s="11" t="s">
        <v>18</v>
      </c>
      <c r="G15" s="11" t="s">
        <v>19</v>
      </c>
      <c r="H15" s="13"/>
    </row>
    <row r="16" spans="1:8" s="4" customFormat="1" ht="32.25" customHeight="1" x14ac:dyDescent="0.2">
      <c r="A16" s="13">
        <v>5</v>
      </c>
      <c r="B16" s="13">
        <v>15800000</v>
      </c>
      <c r="C16" s="13" t="s">
        <v>27</v>
      </c>
      <c r="D16" s="10">
        <v>2000</v>
      </c>
      <c r="E16" s="13" t="s">
        <v>23</v>
      </c>
      <c r="F16" s="11" t="s">
        <v>150</v>
      </c>
      <c r="G16" s="11" t="s">
        <v>151</v>
      </c>
      <c r="H16" s="12" t="s">
        <v>28</v>
      </c>
    </row>
    <row r="17" spans="1:8" s="4" customFormat="1" ht="32.25" customHeight="1" x14ac:dyDescent="0.2">
      <c r="A17" s="13">
        <v>6</v>
      </c>
      <c r="B17" s="13">
        <v>16700000</v>
      </c>
      <c r="C17" s="13" t="s">
        <v>109</v>
      </c>
      <c r="D17" s="16">
        <v>930000</v>
      </c>
      <c r="E17" s="13" t="s">
        <v>32</v>
      </c>
      <c r="F17" s="11" t="s">
        <v>18</v>
      </c>
      <c r="G17" s="11" t="s">
        <v>19</v>
      </c>
      <c r="H17" s="12"/>
    </row>
    <row r="18" spans="1:8" s="4" customFormat="1" ht="38.25" customHeight="1" x14ac:dyDescent="0.2">
      <c r="A18" s="13">
        <v>7</v>
      </c>
      <c r="B18" s="13">
        <v>18100000</v>
      </c>
      <c r="C18" s="13" t="s">
        <v>110</v>
      </c>
      <c r="D18" s="10">
        <v>4000</v>
      </c>
      <c r="E18" s="13" t="s">
        <v>23</v>
      </c>
      <c r="F18" s="11" t="s">
        <v>18</v>
      </c>
      <c r="G18" s="11" t="s">
        <v>19</v>
      </c>
      <c r="H18" s="12"/>
    </row>
    <row r="19" spans="1:8" s="4" customFormat="1" ht="35.25" customHeight="1" x14ac:dyDescent="0.2">
      <c r="A19" s="13">
        <v>8</v>
      </c>
      <c r="B19" s="13">
        <v>18200000</v>
      </c>
      <c r="C19" s="13" t="s">
        <v>111</v>
      </c>
      <c r="D19" s="10">
        <f>7000-1297</f>
        <v>5703</v>
      </c>
      <c r="E19" s="13" t="s">
        <v>23</v>
      </c>
      <c r="F19" s="11" t="s">
        <v>18</v>
      </c>
      <c r="G19" s="11" t="s">
        <v>19</v>
      </c>
      <c r="H19" s="12"/>
    </row>
    <row r="20" spans="1:8" s="4" customFormat="1" ht="35.25" customHeight="1" x14ac:dyDescent="0.2">
      <c r="A20" s="13">
        <v>9</v>
      </c>
      <c r="B20" s="13">
        <v>18300000</v>
      </c>
      <c r="C20" s="13" t="s">
        <v>30</v>
      </c>
      <c r="D20" s="10">
        <v>9900</v>
      </c>
      <c r="E20" s="13" t="s">
        <v>23</v>
      </c>
      <c r="F20" s="11" t="s">
        <v>18</v>
      </c>
      <c r="G20" s="11" t="s">
        <v>19</v>
      </c>
      <c r="H20" s="12"/>
    </row>
    <row r="21" spans="1:8" s="4" customFormat="1" ht="36" customHeight="1" x14ac:dyDescent="0.2">
      <c r="A21" s="13">
        <v>10</v>
      </c>
      <c r="B21" s="13">
        <v>18400000</v>
      </c>
      <c r="C21" s="13" t="s">
        <v>31</v>
      </c>
      <c r="D21" s="10">
        <f>580374-30201</f>
        <v>550173</v>
      </c>
      <c r="E21" s="13" t="s">
        <v>32</v>
      </c>
      <c r="F21" s="11" t="s">
        <v>18</v>
      </c>
      <c r="G21" s="11" t="s">
        <v>19</v>
      </c>
      <c r="H21" s="12"/>
    </row>
    <row r="22" spans="1:8" s="4" customFormat="1" ht="38.25" customHeight="1" x14ac:dyDescent="0.2">
      <c r="A22" s="13">
        <v>11</v>
      </c>
      <c r="B22" s="95">
        <v>18500000</v>
      </c>
      <c r="C22" s="95" t="s">
        <v>34</v>
      </c>
      <c r="D22" s="10">
        <f>7000+9500</f>
        <v>16500</v>
      </c>
      <c r="E22" s="13" t="s">
        <v>23</v>
      </c>
      <c r="F22" s="11" t="s">
        <v>18</v>
      </c>
      <c r="G22" s="11" t="s">
        <v>19</v>
      </c>
      <c r="H22" s="12" t="s">
        <v>28</v>
      </c>
    </row>
    <row r="23" spans="1:8" s="4" customFormat="1" ht="38.25" customHeight="1" x14ac:dyDescent="0.2">
      <c r="A23" s="13">
        <v>12</v>
      </c>
      <c r="B23" s="96"/>
      <c r="C23" s="96"/>
      <c r="D23" s="10">
        <f>9900+8272</f>
        <v>18172</v>
      </c>
      <c r="E23" s="13" t="s">
        <v>32</v>
      </c>
      <c r="F23" s="11" t="s">
        <v>18</v>
      </c>
      <c r="G23" s="11" t="s">
        <v>19</v>
      </c>
      <c r="H23" s="12"/>
    </row>
    <row r="24" spans="1:8" s="4" customFormat="1" ht="36" customHeight="1" x14ac:dyDescent="0.2">
      <c r="A24" s="13">
        <v>13</v>
      </c>
      <c r="B24" s="68">
        <v>18800000</v>
      </c>
      <c r="C24" s="13" t="s">
        <v>112</v>
      </c>
      <c r="D24" s="10">
        <f>344535-54366</f>
        <v>290169</v>
      </c>
      <c r="E24" s="13" t="s">
        <v>32</v>
      </c>
      <c r="F24" s="11" t="s">
        <v>18</v>
      </c>
      <c r="G24" s="11" t="s">
        <v>19</v>
      </c>
      <c r="H24" s="12"/>
    </row>
    <row r="25" spans="1:8" s="4" customFormat="1" ht="31.5" customHeight="1" x14ac:dyDescent="0.2">
      <c r="A25" s="13">
        <v>14</v>
      </c>
      <c r="B25" s="13">
        <v>18900000</v>
      </c>
      <c r="C25" s="13" t="s">
        <v>113</v>
      </c>
      <c r="D25" s="10">
        <v>3000</v>
      </c>
      <c r="E25" s="13" t="s">
        <v>23</v>
      </c>
      <c r="F25" s="11" t="s">
        <v>18</v>
      </c>
      <c r="G25" s="11" t="s">
        <v>19</v>
      </c>
      <c r="H25" s="12"/>
    </row>
    <row r="26" spans="1:8" s="4" customFormat="1" ht="33.75" customHeight="1" x14ac:dyDescent="0.2">
      <c r="A26" s="13">
        <v>15</v>
      </c>
      <c r="B26" s="13">
        <v>19400000</v>
      </c>
      <c r="C26" s="13" t="s">
        <v>114</v>
      </c>
      <c r="D26" s="10">
        <v>1000</v>
      </c>
      <c r="E26" s="13" t="s">
        <v>23</v>
      </c>
      <c r="F26" s="11" t="s">
        <v>18</v>
      </c>
      <c r="G26" s="11" t="s">
        <v>19</v>
      </c>
      <c r="H26" s="12"/>
    </row>
    <row r="27" spans="1:8" s="3" customFormat="1" ht="33.75" customHeight="1" x14ac:dyDescent="0.2">
      <c r="A27" s="63">
        <v>16</v>
      </c>
      <c r="B27" s="63">
        <v>19600000</v>
      </c>
      <c r="C27" s="63" t="s">
        <v>115</v>
      </c>
      <c r="D27" s="10">
        <v>500</v>
      </c>
      <c r="E27" s="63" t="s">
        <v>23</v>
      </c>
      <c r="F27" s="31" t="s">
        <v>18</v>
      </c>
      <c r="G27" s="31" t="s">
        <v>19</v>
      </c>
      <c r="H27" s="34"/>
    </row>
    <row r="28" spans="1:8" s="3" customFormat="1" ht="33" customHeight="1" x14ac:dyDescent="0.2">
      <c r="A28" s="63">
        <v>17</v>
      </c>
      <c r="B28" s="63">
        <v>22100000</v>
      </c>
      <c r="C28" s="63" t="s">
        <v>116</v>
      </c>
      <c r="D28" s="10">
        <v>9900</v>
      </c>
      <c r="E28" s="63" t="s">
        <v>23</v>
      </c>
      <c r="F28" s="31" t="s">
        <v>18</v>
      </c>
      <c r="G28" s="31" t="s">
        <v>19</v>
      </c>
      <c r="H28" s="32"/>
    </row>
    <row r="29" spans="1:8" s="3" customFormat="1" ht="42" customHeight="1" x14ac:dyDescent="0.2">
      <c r="A29" s="63">
        <v>18</v>
      </c>
      <c r="B29" s="63">
        <v>22400000</v>
      </c>
      <c r="C29" s="63" t="s">
        <v>35</v>
      </c>
      <c r="D29" s="10">
        <f>5200+1000</f>
        <v>6200</v>
      </c>
      <c r="E29" s="63" t="s">
        <v>23</v>
      </c>
      <c r="F29" s="31" t="s">
        <v>18</v>
      </c>
      <c r="G29" s="31" t="s">
        <v>19</v>
      </c>
      <c r="H29" s="32"/>
    </row>
    <row r="30" spans="1:8" s="3" customFormat="1" ht="44.25" customHeight="1" x14ac:dyDescent="0.2">
      <c r="A30" s="63">
        <v>19</v>
      </c>
      <c r="B30" s="63">
        <v>22800000</v>
      </c>
      <c r="C30" s="63" t="s">
        <v>117</v>
      </c>
      <c r="D30" s="10">
        <v>9900</v>
      </c>
      <c r="E30" s="63" t="s">
        <v>23</v>
      </c>
      <c r="F30" s="31" t="s">
        <v>18</v>
      </c>
      <c r="G30" s="31" t="s">
        <v>19</v>
      </c>
      <c r="H30" s="32"/>
    </row>
    <row r="31" spans="1:8" s="3" customFormat="1" ht="35.25" customHeight="1" x14ac:dyDescent="0.2">
      <c r="A31" s="63">
        <v>20</v>
      </c>
      <c r="B31" s="63">
        <v>22900000</v>
      </c>
      <c r="C31" s="63" t="s">
        <v>118</v>
      </c>
      <c r="D31" s="10">
        <v>3000</v>
      </c>
      <c r="E31" s="63" t="s">
        <v>23</v>
      </c>
      <c r="F31" s="31" t="s">
        <v>18</v>
      </c>
      <c r="G31" s="31" t="s">
        <v>19</v>
      </c>
      <c r="H31" s="32"/>
    </row>
    <row r="32" spans="1:8" s="3" customFormat="1" ht="35.25" customHeight="1" x14ac:dyDescent="0.2">
      <c r="A32" s="63">
        <v>21</v>
      </c>
      <c r="B32" s="63">
        <v>24900000</v>
      </c>
      <c r="C32" s="63" t="s">
        <v>119</v>
      </c>
      <c r="D32" s="10">
        <v>1000</v>
      </c>
      <c r="E32" s="63" t="s">
        <v>23</v>
      </c>
      <c r="F32" s="31" t="s">
        <v>18</v>
      </c>
      <c r="G32" s="31" t="s">
        <v>19</v>
      </c>
      <c r="H32" s="32"/>
    </row>
    <row r="33" spans="1:8" s="3" customFormat="1" ht="39.75" customHeight="1" x14ac:dyDescent="0.2">
      <c r="A33" s="63">
        <v>22</v>
      </c>
      <c r="B33" s="72">
        <v>30100000</v>
      </c>
      <c r="C33" s="72" t="s">
        <v>37</v>
      </c>
      <c r="D33" s="14">
        <f>9900-2430</f>
        <v>7470</v>
      </c>
      <c r="E33" s="63" t="s">
        <v>23</v>
      </c>
      <c r="F33" s="31" t="s">
        <v>18</v>
      </c>
      <c r="G33" s="31" t="s">
        <v>19</v>
      </c>
      <c r="H33" s="32"/>
    </row>
    <row r="34" spans="1:8" s="3" customFormat="1" ht="39.75" customHeight="1" x14ac:dyDescent="0.2">
      <c r="A34" s="63">
        <v>23</v>
      </c>
      <c r="B34" s="73"/>
      <c r="C34" s="73"/>
      <c r="D34" s="15">
        <v>2430</v>
      </c>
      <c r="E34" s="63" t="s">
        <v>23</v>
      </c>
      <c r="F34" s="31" t="s">
        <v>25</v>
      </c>
      <c r="G34" s="31" t="s">
        <v>26</v>
      </c>
      <c r="H34" s="32"/>
    </row>
    <row r="35" spans="1:8" s="3" customFormat="1" ht="27" customHeight="1" x14ac:dyDescent="0.2">
      <c r="A35" s="63">
        <v>24</v>
      </c>
      <c r="B35" s="72">
        <v>30200000</v>
      </c>
      <c r="C35" s="72" t="s">
        <v>38</v>
      </c>
      <c r="D35" s="36">
        <v>15200</v>
      </c>
      <c r="E35" s="63" t="s">
        <v>17</v>
      </c>
      <c r="F35" s="31" t="s">
        <v>18</v>
      </c>
      <c r="G35" s="31" t="s">
        <v>19</v>
      </c>
      <c r="H35" s="32" t="s">
        <v>20</v>
      </c>
    </row>
    <row r="36" spans="1:8" s="3" customFormat="1" ht="27" customHeight="1" x14ac:dyDescent="0.2">
      <c r="A36" s="63">
        <v>25</v>
      </c>
      <c r="B36" s="74"/>
      <c r="C36" s="74"/>
      <c r="D36" s="37">
        <f>31000-3000</f>
        <v>28000</v>
      </c>
      <c r="E36" s="63" t="s">
        <v>17</v>
      </c>
      <c r="F36" s="31" t="s">
        <v>18</v>
      </c>
      <c r="G36" s="31" t="s">
        <v>19</v>
      </c>
      <c r="H36" s="32" t="s">
        <v>20</v>
      </c>
    </row>
    <row r="37" spans="1:8" s="3" customFormat="1" ht="27" customHeight="1" x14ac:dyDescent="0.2">
      <c r="A37" s="63">
        <v>26</v>
      </c>
      <c r="B37" s="74"/>
      <c r="C37" s="74"/>
      <c r="D37" s="36">
        <f>7470+1001</f>
        <v>8471</v>
      </c>
      <c r="E37" s="63" t="s">
        <v>23</v>
      </c>
      <c r="F37" s="31" t="s">
        <v>18</v>
      </c>
      <c r="G37" s="31" t="s">
        <v>19</v>
      </c>
      <c r="H37" s="32"/>
    </row>
    <row r="38" spans="1:8" s="3" customFormat="1" ht="27" customHeight="1" x14ac:dyDescent="0.2">
      <c r="A38" s="63">
        <v>27</v>
      </c>
      <c r="B38" s="74"/>
      <c r="C38" s="74"/>
      <c r="D38" s="37">
        <f>2430-1330</f>
        <v>1100</v>
      </c>
      <c r="E38" s="63" t="s">
        <v>23</v>
      </c>
      <c r="F38" s="31" t="s">
        <v>18</v>
      </c>
      <c r="G38" s="31" t="s">
        <v>19</v>
      </c>
      <c r="H38" s="32"/>
    </row>
    <row r="39" spans="1:8" s="3" customFormat="1" ht="34.5" customHeight="1" x14ac:dyDescent="0.2">
      <c r="A39" s="63">
        <v>28</v>
      </c>
      <c r="B39" s="63">
        <v>31100000</v>
      </c>
      <c r="C39" s="63" t="s">
        <v>39</v>
      </c>
      <c r="D39" s="16">
        <v>300000</v>
      </c>
      <c r="E39" s="63" t="s">
        <v>32</v>
      </c>
      <c r="F39" s="31" t="s">
        <v>18</v>
      </c>
      <c r="G39" s="31" t="s">
        <v>19</v>
      </c>
      <c r="H39" s="32"/>
    </row>
    <row r="40" spans="1:8" s="3" customFormat="1" ht="33.75" customHeight="1" x14ac:dyDescent="0.2">
      <c r="A40" s="63">
        <v>29</v>
      </c>
      <c r="B40" s="63">
        <v>31200000</v>
      </c>
      <c r="C40" s="63" t="s">
        <v>120</v>
      </c>
      <c r="D40" s="10">
        <f>3700+5000</f>
        <v>8700</v>
      </c>
      <c r="E40" s="63" t="s">
        <v>23</v>
      </c>
      <c r="F40" s="31" t="s">
        <v>18</v>
      </c>
      <c r="G40" s="31" t="s">
        <v>19</v>
      </c>
      <c r="H40" s="32"/>
    </row>
    <row r="41" spans="1:8" s="3" customFormat="1" ht="34.5" customHeight="1" x14ac:dyDescent="0.2">
      <c r="A41" s="63">
        <v>30</v>
      </c>
      <c r="B41" s="63">
        <v>31300000</v>
      </c>
      <c r="C41" s="63" t="s">
        <v>121</v>
      </c>
      <c r="D41" s="10">
        <f>8000+812</f>
        <v>8812</v>
      </c>
      <c r="E41" s="63" t="s">
        <v>23</v>
      </c>
      <c r="F41" s="31" t="s">
        <v>18</v>
      </c>
      <c r="G41" s="31" t="s">
        <v>19</v>
      </c>
      <c r="H41" s="32"/>
    </row>
    <row r="42" spans="1:8" s="3" customFormat="1" ht="36.75" customHeight="1" x14ac:dyDescent="0.2">
      <c r="A42" s="63">
        <v>31</v>
      </c>
      <c r="B42" s="63">
        <v>31400000</v>
      </c>
      <c r="C42" s="63" t="s">
        <v>40</v>
      </c>
      <c r="D42" s="10">
        <f>11000</f>
        <v>11000</v>
      </c>
      <c r="E42" s="63" t="s">
        <v>32</v>
      </c>
      <c r="F42" s="31" t="s">
        <v>150</v>
      </c>
      <c r="G42" s="31" t="s">
        <v>151</v>
      </c>
      <c r="H42" s="32"/>
    </row>
    <row r="43" spans="1:8" s="3" customFormat="1" ht="33.75" customHeight="1" x14ac:dyDescent="0.2">
      <c r="A43" s="63">
        <v>32</v>
      </c>
      <c r="B43" s="63">
        <v>31500000</v>
      </c>
      <c r="C43" s="63" t="s">
        <v>41</v>
      </c>
      <c r="D43" s="10">
        <v>9900</v>
      </c>
      <c r="E43" s="63" t="s">
        <v>23</v>
      </c>
      <c r="F43" s="31" t="s">
        <v>18</v>
      </c>
      <c r="G43" s="31" t="s">
        <v>19</v>
      </c>
      <c r="H43" s="33"/>
    </row>
    <row r="44" spans="1:8" s="3" customFormat="1" ht="33.75" customHeight="1" x14ac:dyDescent="0.2">
      <c r="A44" s="63">
        <v>33</v>
      </c>
      <c r="B44" s="63">
        <v>31600000</v>
      </c>
      <c r="C44" s="63" t="s">
        <v>122</v>
      </c>
      <c r="D44" s="10">
        <v>500</v>
      </c>
      <c r="E44" s="63" t="s">
        <v>23</v>
      </c>
      <c r="F44" s="31" t="s">
        <v>18</v>
      </c>
      <c r="G44" s="31" t="s">
        <v>19</v>
      </c>
      <c r="H44" s="33"/>
    </row>
    <row r="45" spans="1:8" s="3" customFormat="1" ht="36" customHeight="1" x14ac:dyDescent="0.2">
      <c r="A45" s="63">
        <v>34</v>
      </c>
      <c r="B45" s="63">
        <v>32200000</v>
      </c>
      <c r="C45" s="63" t="s">
        <v>42</v>
      </c>
      <c r="D45" s="10">
        <v>9000</v>
      </c>
      <c r="E45" s="63" t="s">
        <v>23</v>
      </c>
      <c r="F45" s="31" t="s">
        <v>18</v>
      </c>
      <c r="G45" s="31" t="s">
        <v>19</v>
      </c>
      <c r="H45" s="33"/>
    </row>
    <row r="46" spans="1:8" s="3" customFormat="1" ht="37.5" customHeight="1" x14ac:dyDescent="0.2">
      <c r="A46" s="63">
        <v>35</v>
      </c>
      <c r="B46" s="62">
        <v>32300000</v>
      </c>
      <c r="C46" s="62" t="s">
        <v>43</v>
      </c>
      <c r="D46" s="16">
        <v>1000000</v>
      </c>
      <c r="E46" s="63" t="s">
        <v>32</v>
      </c>
      <c r="F46" s="31" t="s">
        <v>25</v>
      </c>
      <c r="G46" s="31" t="s">
        <v>26</v>
      </c>
      <c r="H46" s="33"/>
    </row>
    <row r="47" spans="1:8" s="3" customFormat="1" ht="33.75" customHeight="1" x14ac:dyDescent="0.2">
      <c r="A47" s="63">
        <v>36</v>
      </c>
      <c r="B47" s="62">
        <v>32400000</v>
      </c>
      <c r="C47" s="62" t="s">
        <v>44</v>
      </c>
      <c r="D47" s="10">
        <v>9000</v>
      </c>
      <c r="E47" s="63" t="s">
        <v>23</v>
      </c>
      <c r="F47" s="31" t="s">
        <v>18</v>
      </c>
      <c r="G47" s="31" t="s">
        <v>19</v>
      </c>
      <c r="H47" s="32"/>
    </row>
    <row r="48" spans="1:8" s="3" customFormat="1" ht="33.75" customHeight="1" x14ac:dyDescent="0.2">
      <c r="A48" s="63">
        <v>37</v>
      </c>
      <c r="B48" s="62">
        <v>34100000</v>
      </c>
      <c r="C48" s="62" t="s">
        <v>47</v>
      </c>
      <c r="D48" s="16">
        <f>495000-1100</f>
        <v>493900</v>
      </c>
      <c r="E48" s="63" t="s">
        <v>32</v>
      </c>
      <c r="F48" s="31" t="s">
        <v>25</v>
      </c>
      <c r="G48" s="31" t="s">
        <v>26</v>
      </c>
      <c r="H48" s="32"/>
    </row>
    <row r="49" spans="1:8" s="3" customFormat="1" ht="33" customHeight="1" x14ac:dyDescent="0.2">
      <c r="A49" s="63">
        <v>38</v>
      </c>
      <c r="B49" s="72">
        <v>34300000</v>
      </c>
      <c r="C49" s="72" t="s">
        <v>48</v>
      </c>
      <c r="D49" s="10">
        <f>228392-30238</f>
        <v>198154</v>
      </c>
      <c r="E49" s="63" t="s">
        <v>17</v>
      </c>
      <c r="F49" s="31" t="s">
        <v>18</v>
      </c>
      <c r="G49" s="31" t="s">
        <v>19</v>
      </c>
      <c r="H49" s="32" t="s">
        <v>20</v>
      </c>
    </row>
    <row r="50" spans="1:8" s="3" customFormat="1" ht="33" customHeight="1" x14ac:dyDescent="0.2">
      <c r="A50" s="63">
        <v>39</v>
      </c>
      <c r="B50" s="74"/>
      <c r="C50" s="74"/>
      <c r="D50" s="10">
        <f>1780+5925</f>
        <v>7705</v>
      </c>
      <c r="E50" s="63" t="s">
        <v>23</v>
      </c>
      <c r="F50" s="31" t="s">
        <v>25</v>
      </c>
      <c r="G50" s="31" t="s">
        <v>26</v>
      </c>
      <c r="H50" s="32"/>
    </row>
    <row r="51" spans="1:8" s="3" customFormat="1" ht="35.25" customHeight="1" x14ac:dyDescent="0.2">
      <c r="A51" s="63">
        <v>40</v>
      </c>
      <c r="B51" s="72">
        <v>34900000</v>
      </c>
      <c r="C51" s="72" t="s">
        <v>49</v>
      </c>
      <c r="D51" s="16">
        <f>9990-279</f>
        <v>9711</v>
      </c>
      <c r="E51" s="63" t="s">
        <v>23</v>
      </c>
      <c r="F51" s="31" t="s">
        <v>18</v>
      </c>
      <c r="G51" s="31" t="s">
        <v>19</v>
      </c>
      <c r="H51" s="32"/>
    </row>
    <row r="52" spans="1:8" s="3" customFormat="1" ht="35.25" customHeight="1" x14ac:dyDescent="0.2">
      <c r="A52" s="63">
        <v>41</v>
      </c>
      <c r="B52" s="73"/>
      <c r="C52" s="73"/>
      <c r="D52" s="10">
        <v>279</v>
      </c>
      <c r="E52" s="63" t="s">
        <v>23</v>
      </c>
      <c r="F52" s="31" t="s">
        <v>25</v>
      </c>
      <c r="G52" s="31" t="s">
        <v>26</v>
      </c>
      <c r="H52" s="32"/>
    </row>
    <row r="53" spans="1:8" s="3" customFormat="1" ht="33" customHeight="1" x14ac:dyDescent="0.2">
      <c r="A53" s="63">
        <v>42</v>
      </c>
      <c r="B53" s="63">
        <v>35100000</v>
      </c>
      <c r="C53" s="63" t="s">
        <v>50</v>
      </c>
      <c r="D53" s="10">
        <v>9990</v>
      </c>
      <c r="E53" s="63" t="s">
        <v>23</v>
      </c>
      <c r="F53" s="31" t="s">
        <v>18</v>
      </c>
      <c r="G53" s="31" t="s">
        <v>19</v>
      </c>
      <c r="H53" s="63"/>
    </row>
    <row r="54" spans="1:8" s="3" customFormat="1" ht="37.5" customHeight="1" x14ac:dyDescent="0.2">
      <c r="A54" s="63">
        <v>43</v>
      </c>
      <c r="B54" s="63">
        <v>35800000</v>
      </c>
      <c r="C54" s="63" t="s">
        <v>123</v>
      </c>
      <c r="D54" s="10">
        <f>9000-1000</f>
        <v>8000</v>
      </c>
      <c r="E54" s="63" t="s">
        <v>23</v>
      </c>
      <c r="F54" s="31" t="s">
        <v>18</v>
      </c>
      <c r="G54" s="31" t="s">
        <v>19</v>
      </c>
      <c r="H54" s="63"/>
    </row>
    <row r="55" spans="1:8" s="3" customFormat="1" ht="35.25" customHeight="1" x14ac:dyDescent="0.2">
      <c r="A55" s="63">
        <v>44</v>
      </c>
      <c r="B55" s="72">
        <v>38400000</v>
      </c>
      <c r="C55" s="72" t="s">
        <v>166</v>
      </c>
      <c r="D55" s="16">
        <f>3000+1100</f>
        <v>4100</v>
      </c>
      <c r="E55" s="63" t="s">
        <v>23</v>
      </c>
      <c r="F55" s="31" t="s">
        <v>97</v>
      </c>
      <c r="G55" s="31" t="s">
        <v>97</v>
      </c>
      <c r="H55" s="32"/>
    </row>
    <row r="56" spans="1:8" s="3" customFormat="1" ht="35.25" customHeight="1" x14ac:dyDescent="0.2">
      <c r="A56" s="63">
        <v>44</v>
      </c>
      <c r="B56" s="73"/>
      <c r="C56" s="73"/>
      <c r="D56" s="10">
        <v>80</v>
      </c>
      <c r="E56" s="63" t="s">
        <v>23</v>
      </c>
      <c r="F56" s="31" t="s">
        <v>97</v>
      </c>
      <c r="G56" s="31" t="s">
        <v>97</v>
      </c>
      <c r="H56" s="32"/>
    </row>
    <row r="57" spans="1:8" s="3" customFormat="1" ht="33.75" customHeight="1" x14ac:dyDescent="0.2">
      <c r="A57" s="63">
        <v>45</v>
      </c>
      <c r="B57" s="72">
        <v>39100000</v>
      </c>
      <c r="C57" s="72" t="s">
        <v>52</v>
      </c>
      <c r="D57" s="10">
        <f>34425-1000</f>
        <v>33425</v>
      </c>
      <c r="E57" s="63" t="s">
        <v>17</v>
      </c>
      <c r="F57" s="31" t="s">
        <v>18</v>
      </c>
      <c r="G57" s="31" t="s">
        <v>19</v>
      </c>
      <c r="H57" s="32" t="s">
        <v>20</v>
      </c>
    </row>
    <row r="58" spans="1:8" s="3" customFormat="1" ht="33.75" customHeight="1" x14ac:dyDescent="0.2">
      <c r="A58" s="63">
        <v>46</v>
      </c>
      <c r="B58" s="74"/>
      <c r="C58" s="74"/>
      <c r="D58" s="16">
        <f>6000+2900</f>
        <v>8900</v>
      </c>
      <c r="E58" s="63" t="s">
        <v>23</v>
      </c>
      <c r="F58" s="31" t="s">
        <v>25</v>
      </c>
      <c r="G58" s="31" t="s">
        <v>26</v>
      </c>
      <c r="H58" s="32"/>
    </row>
    <row r="59" spans="1:8" s="3" customFormat="1" ht="33.75" customHeight="1" x14ac:dyDescent="0.2">
      <c r="A59" s="63">
        <v>47</v>
      </c>
      <c r="B59" s="73"/>
      <c r="C59" s="73"/>
      <c r="D59" s="10">
        <v>1000</v>
      </c>
      <c r="E59" s="63" t="s">
        <v>23</v>
      </c>
      <c r="F59" s="31" t="s">
        <v>25</v>
      </c>
      <c r="G59" s="31" t="s">
        <v>26</v>
      </c>
      <c r="H59" s="32"/>
    </row>
    <row r="60" spans="1:8" s="3" customFormat="1" ht="31.5" customHeight="1" x14ac:dyDescent="0.2">
      <c r="A60" s="63">
        <v>48</v>
      </c>
      <c r="B60" s="62">
        <v>39200000</v>
      </c>
      <c r="C60" s="62" t="s">
        <v>53</v>
      </c>
      <c r="D60" s="10">
        <v>9900</v>
      </c>
      <c r="E60" s="63" t="s">
        <v>23</v>
      </c>
      <c r="F60" s="31" t="s">
        <v>18</v>
      </c>
      <c r="G60" s="31" t="s">
        <v>19</v>
      </c>
      <c r="H60" s="63"/>
    </row>
    <row r="61" spans="1:8" s="3" customFormat="1" ht="37.5" customHeight="1" x14ac:dyDescent="0.2">
      <c r="A61" s="63">
        <v>49</v>
      </c>
      <c r="B61" s="63">
        <v>39500000</v>
      </c>
      <c r="C61" s="63" t="s">
        <v>124</v>
      </c>
      <c r="D61" s="10">
        <f>8800+1000</f>
        <v>9800</v>
      </c>
      <c r="E61" s="63" t="s">
        <v>23</v>
      </c>
      <c r="F61" s="31" t="s">
        <v>18</v>
      </c>
      <c r="G61" s="31" t="s">
        <v>19</v>
      </c>
      <c r="H61" s="63"/>
    </row>
    <row r="62" spans="1:8" s="3" customFormat="1" ht="33.75" customHeight="1" x14ac:dyDescent="0.2">
      <c r="A62" s="63">
        <v>50</v>
      </c>
      <c r="B62" s="72">
        <v>39700000</v>
      </c>
      <c r="C62" s="72" t="s">
        <v>125</v>
      </c>
      <c r="D62" s="10">
        <f>5120-1400</f>
        <v>3720</v>
      </c>
      <c r="E62" s="63" t="s">
        <v>23</v>
      </c>
      <c r="F62" s="31" t="s">
        <v>18</v>
      </c>
      <c r="G62" s="31" t="s">
        <v>19</v>
      </c>
      <c r="H62" s="63"/>
    </row>
    <row r="63" spans="1:8" s="3" customFormat="1" ht="33.75" customHeight="1" x14ac:dyDescent="0.2">
      <c r="A63" s="63">
        <v>51</v>
      </c>
      <c r="B63" s="73"/>
      <c r="C63" s="73"/>
      <c r="D63" s="16">
        <f>6180</f>
        <v>6180</v>
      </c>
      <c r="E63" s="63" t="s">
        <v>23</v>
      </c>
      <c r="F63" s="31" t="s">
        <v>25</v>
      </c>
      <c r="G63" s="31" t="s">
        <v>26</v>
      </c>
      <c r="H63" s="63"/>
    </row>
    <row r="64" spans="1:8" s="3" customFormat="1" ht="33.75" customHeight="1" x14ac:dyDescent="0.2">
      <c r="A64" s="63">
        <v>52</v>
      </c>
      <c r="B64" s="63">
        <v>39800000</v>
      </c>
      <c r="C64" s="63" t="s">
        <v>126</v>
      </c>
      <c r="D64" s="10">
        <v>1000</v>
      </c>
      <c r="E64" s="63" t="s">
        <v>23</v>
      </c>
      <c r="F64" s="31" t="s">
        <v>18</v>
      </c>
      <c r="G64" s="31" t="s">
        <v>19</v>
      </c>
      <c r="H64" s="33"/>
    </row>
    <row r="65" spans="1:8" s="3" customFormat="1" ht="32.25" customHeight="1" x14ac:dyDescent="0.2">
      <c r="A65" s="63">
        <v>53</v>
      </c>
      <c r="B65" s="63">
        <v>41100000</v>
      </c>
      <c r="C65" s="63" t="s">
        <v>127</v>
      </c>
      <c r="D65" s="10">
        <v>2000</v>
      </c>
      <c r="E65" s="63" t="s">
        <v>23</v>
      </c>
      <c r="F65" s="31" t="s">
        <v>18</v>
      </c>
      <c r="G65" s="31" t="s">
        <v>19</v>
      </c>
      <c r="H65" s="32"/>
    </row>
    <row r="66" spans="1:8" s="3" customFormat="1" ht="34.5" customHeight="1" x14ac:dyDescent="0.2">
      <c r="A66" s="63">
        <v>54</v>
      </c>
      <c r="B66" s="62">
        <v>42100000</v>
      </c>
      <c r="C66" s="62" t="s">
        <v>128</v>
      </c>
      <c r="D66" s="10">
        <f>2000+240</f>
        <v>2240</v>
      </c>
      <c r="E66" s="63" t="s">
        <v>23</v>
      </c>
      <c r="F66" s="31" t="s">
        <v>18</v>
      </c>
      <c r="G66" s="31" t="s">
        <v>19</v>
      </c>
      <c r="H66" s="32"/>
    </row>
    <row r="67" spans="1:8" s="3" customFormat="1" ht="35.25" customHeight="1" x14ac:dyDescent="0.2">
      <c r="A67" s="63">
        <v>55</v>
      </c>
      <c r="B67" s="63">
        <v>42400000</v>
      </c>
      <c r="C67" s="63" t="s">
        <v>54</v>
      </c>
      <c r="D67" s="10">
        <v>3000</v>
      </c>
      <c r="E67" s="63" t="s">
        <v>23</v>
      </c>
      <c r="F67" s="31" t="s">
        <v>18</v>
      </c>
      <c r="G67" s="31" t="s">
        <v>19</v>
      </c>
      <c r="H67" s="32"/>
    </row>
    <row r="68" spans="1:8" s="3" customFormat="1" ht="33.75" customHeight="1" x14ac:dyDescent="0.2">
      <c r="A68" s="63">
        <v>56</v>
      </c>
      <c r="B68" s="63">
        <v>42500000</v>
      </c>
      <c r="C68" s="63" t="s">
        <v>55</v>
      </c>
      <c r="D68" s="16">
        <f>60400-50000</f>
        <v>10400</v>
      </c>
      <c r="E68" s="63" t="s">
        <v>32</v>
      </c>
      <c r="F68" s="31" t="s">
        <v>18</v>
      </c>
      <c r="G68" s="31" t="s">
        <v>19</v>
      </c>
      <c r="H68" s="32"/>
    </row>
    <row r="69" spans="1:8" s="3" customFormat="1" ht="34.5" customHeight="1" x14ac:dyDescent="0.2">
      <c r="A69" s="63">
        <v>57</v>
      </c>
      <c r="B69" s="72">
        <v>42600000</v>
      </c>
      <c r="C69" s="72" t="s">
        <v>56</v>
      </c>
      <c r="D69" s="10">
        <f>9900-2109</f>
        <v>7791</v>
      </c>
      <c r="E69" s="63" t="s">
        <v>23</v>
      </c>
      <c r="F69" s="31" t="s">
        <v>18</v>
      </c>
      <c r="G69" s="31" t="s">
        <v>19</v>
      </c>
      <c r="H69" s="32"/>
    </row>
    <row r="70" spans="1:8" s="3" customFormat="1" ht="34.5" customHeight="1" x14ac:dyDescent="0.2">
      <c r="A70" s="63">
        <v>58</v>
      </c>
      <c r="B70" s="73"/>
      <c r="C70" s="73"/>
      <c r="D70" s="16">
        <v>2197</v>
      </c>
      <c r="E70" s="63" t="s">
        <v>23</v>
      </c>
      <c r="F70" s="31" t="s">
        <v>151</v>
      </c>
      <c r="G70" s="31" t="s">
        <v>151</v>
      </c>
      <c r="H70" s="32"/>
    </row>
    <row r="71" spans="1:8" s="3" customFormat="1" ht="32.25" customHeight="1" x14ac:dyDescent="0.2">
      <c r="A71" s="63">
        <v>59</v>
      </c>
      <c r="B71" s="72">
        <v>42900000</v>
      </c>
      <c r="C71" s="72" t="s">
        <v>57</v>
      </c>
      <c r="D71" s="10">
        <f>9806-7990</f>
        <v>1816</v>
      </c>
      <c r="E71" s="63" t="s">
        <v>23</v>
      </c>
      <c r="F71" s="31" t="s">
        <v>18</v>
      </c>
      <c r="G71" s="31" t="s">
        <v>19</v>
      </c>
      <c r="H71" s="32"/>
    </row>
    <row r="72" spans="1:8" s="3" customFormat="1" ht="32.25" customHeight="1" x14ac:dyDescent="0.2">
      <c r="A72" s="63">
        <v>60</v>
      </c>
      <c r="B72" s="73"/>
      <c r="C72" s="73"/>
      <c r="D72" s="16">
        <v>7990</v>
      </c>
      <c r="E72" s="63" t="s">
        <v>23</v>
      </c>
      <c r="F72" s="31" t="s">
        <v>25</v>
      </c>
      <c r="G72" s="31" t="s">
        <v>26</v>
      </c>
      <c r="H72" s="32"/>
    </row>
    <row r="73" spans="1:8" s="3" customFormat="1" ht="33.75" customHeight="1" x14ac:dyDescent="0.2">
      <c r="A73" s="63">
        <v>61</v>
      </c>
      <c r="B73" s="63">
        <v>43800000</v>
      </c>
      <c r="C73" s="63" t="s">
        <v>129</v>
      </c>
      <c r="D73" s="16">
        <f>385230-95000</f>
        <v>290230</v>
      </c>
      <c r="E73" s="63" t="s">
        <v>32</v>
      </c>
      <c r="F73" s="31" t="s">
        <v>18</v>
      </c>
      <c r="G73" s="31" t="s">
        <v>19</v>
      </c>
      <c r="H73" s="32"/>
    </row>
    <row r="74" spans="1:8" s="3" customFormat="1" ht="33" customHeight="1" x14ac:dyDescent="0.2">
      <c r="A74" s="63">
        <v>62</v>
      </c>
      <c r="B74" s="63">
        <v>44100000</v>
      </c>
      <c r="C74" s="63" t="s">
        <v>58</v>
      </c>
      <c r="D74" s="10">
        <f>9000+900</f>
        <v>9900</v>
      </c>
      <c r="E74" s="63" t="s">
        <v>23</v>
      </c>
      <c r="F74" s="31" t="s">
        <v>18</v>
      </c>
      <c r="G74" s="31" t="s">
        <v>19</v>
      </c>
      <c r="H74" s="32"/>
    </row>
    <row r="75" spans="1:8" s="3" customFormat="1" ht="33" customHeight="1" x14ac:dyDescent="0.2">
      <c r="A75" s="63">
        <v>63</v>
      </c>
      <c r="B75" s="63">
        <v>44300000</v>
      </c>
      <c r="C75" s="63" t="s">
        <v>60</v>
      </c>
      <c r="D75" s="10">
        <f>30727-13300</f>
        <v>17427</v>
      </c>
      <c r="E75" s="63" t="s">
        <v>32</v>
      </c>
      <c r="F75" s="31" t="s">
        <v>18</v>
      </c>
      <c r="G75" s="31" t="s">
        <v>19</v>
      </c>
      <c r="H75" s="63"/>
    </row>
    <row r="76" spans="1:8" s="3" customFormat="1" ht="31.5" customHeight="1" x14ac:dyDescent="0.2">
      <c r="A76" s="63">
        <v>64</v>
      </c>
      <c r="B76" s="72">
        <v>44400000</v>
      </c>
      <c r="C76" s="72" t="s">
        <v>61</v>
      </c>
      <c r="D76" s="10">
        <f>322500</f>
        <v>322500</v>
      </c>
      <c r="E76" s="63" t="s">
        <v>32</v>
      </c>
      <c r="F76" s="31" t="s">
        <v>18</v>
      </c>
      <c r="G76" s="31" t="s">
        <v>19</v>
      </c>
      <c r="H76" s="32"/>
    </row>
    <row r="77" spans="1:8" s="3" customFormat="1" ht="31.5" customHeight="1" x14ac:dyDescent="0.2">
      <c r="A77" s="63">
        <v>65</v>
      </c>
      <c r="B77" s="73"/>
      <c r="C77" s="73"/>
      <c r="D77" s="16">
        <f>5508+5428</f>
        <v>10936</v>
      </c>
      <c r="E77" s="63" t="s">
        <v>32</v>
      </c>
      <c r="F77" s="31" t="s">
        <v>18</v>
      </c>
      <c r="G77" s="31" t="s">
        <v>19</v>
      </c>
      <c r="H77" s="32"/>
    </row>
    <row r="78" spans="1:8" s="2" customFormat="1" ht="33.75" customHeight="1" x14ac:dyDescent="0.2">
      <c r="A78" s="63">
        <v>66</v>
      </c>
      <c r="B78" s="64">
        <v>44500000</v>
      </c>
      <c r="C78" s="63" t="s">
        <v>62</v>
      </c>
      <c r="D78" s="10">
        <f>85103-7900</f>
        <v>77203</v>
      </c>
      <c r="E78" s="63" t="s">
        <v>32</v>
      </c>
      <c r="F78" s="31" t="s">
        <v>18</v>
      </c>
      <c r="G78" s="31" t="s">
        <v>19</v>
      </c>
      <c r="H78" s="63"/>
    </row>
    <row r="79" spans="1:8" s="3" customFormat="1" ht="31.5" customHeight="1" x14ac:dyDescent="0.2">
      <c r="A79" s="63">
        <v>67</v>
      </c>
      <c r="B79" s="63">
        <v>44800000</v>
      </c>
      <c r="C79" s="63" t="s">
        <v>63</v>
      </c>
      <c r="D79" s="10">
        <v>9000</v>
      </c>
      <c r="E79" s="63" t="s">
        <v>23</v>
      </c>
      <c r="F79" s="31" t="s">
        <v>18</v>
      </c>
      <c r="G79" s="31" t="s">
        <v>19</v>
      </c>
      <c r="H79" s="32"/>
    </row>
    <row r="80" spans="1:8" s="3" customFormat="1" ht="33.75" customHeight="1" x14ac:dyDescent="0.2">
      <c r="A80" s="63">
        <v>68</v>
      </c>
      <c r="B80" s="72">
        <v>45200000</v>
      </c>
      <c r="C80" s="72" t="s">
        <v>64</v>
      </c>
      <c r="D80" s="16">
        <f>3435589-2167000</f>
        <v>1268589</v>
      </c>
      <c r="E80" s="63" t="s">
        <v>32</v>
      </c>
      <c r="F80" s="31" t="s">
        <v>18</v>
      </c>
      <c r="G80" s="31" t="s">
        <v>19</v>
      </c>
      <c r="H80" s="38"/>
    </row>
    <row r="81" spans="1:8" s="3" customFormat="1" ht="33.75" customHeight="1" x14ac:dyDescent="0.2">
      <c r="A81" s="63">
        <v>69</v>
      </c>
      <c r="B81" s="73"/>
      <c r="C81" s="73"/>
      <c r="D81" s="10">
        <v>800000</v>
      </c>
      <c r="E81" s="63" t="s">
        <v>32</v>
      </c>
      <c r="F81" s="31" t="s">
        <v>25</v>
      </c>
      <c r="G81" s="31" t="s">
        <v>26</v>
      </c>
      <c r="H81" s="32"/>
    </row>
    <row r="82" spans="1:8" s="3" customFormat="1" ht="34.5" customHeight="1" x14ac:dyDescent="0.2">
      <c r="A82" s="63">
        <v>70</v>
      </c>
      <c r="B82" s="62">
        <v>45300000</v>
      </c>
      <c r="C82" s="62" t="s">
        <v>65</v>
      </c>
      <c r="D82" s="16">
        <v>30400</v>
      </c>
      <c r="E82" s="63" t="s">
        <v>32</v>
      </c>
      <c r="F82" s="31" t="s">
        <v>25</v>
      </c>
      <c r="G82" s="31" t="s">
        <v>26</v>
      </c>
      <c r="H82" s="32"/>
    </row>
    <row r="83" spans="1:8" s="2" customFormat="1" ht="31.5" customHeight="1" x14ac:dyDescent="0.2">
      <c r="A83" s="63">
        <v>71</v>
      </c>
      <c r="B83" s="63">
        <v>45400000</v>
      </c>
      <c r="C83" s="63" t="s">
        <v>66</v>
      </c>
      <c r="D83" s="16">
        <f>4591987-520000</f>
        <v>4071987</v>
      </c>
      <c r="E83" s="63" t="s">
        <v>32</v>
      </c>
      <c r="F83" s="31" t="s">
        <v>18</v>
      </c>
      <c r="G83" s="31" t="s">
        <v>19</v>
      </c>
      <c r="H83" s="63"/>
    </row>
    <row r="84" spans="1:8" s="2" customFormat="1" ht="36.75" customHeight="1" x14ac:dyDescent="0.2">
      <c r="A84" s="63">
        <v>72</v>
      </c>
      <c r="B84" s="64">
        <v>48400000</v>
      </c>
      <c r="C84" s="63" t="s">
        <v>130</v>
      </c>
      <c r="D84" s="26">
        <f>25000-10400</f>
        <v>14600</v>
      </c>
      <c r="E84" s="63" t="s">
        <v>23</v>
      </c>
      <c r="F84" s="31" t="s">
        <v>18</v>
      </c>
      <c r="G84" s="31" t="s">
        <v>19</v>
      </c>
      <c r="H84" s="32" t="s">
        <v>82</v>
      </c>
    </row>
    <row r="85" spans="1:8" s="2" customFormat="1" ht="36.75" customHeight="1" x14ac:dyDescent="0.2">
      <c r="A85" s="63">
        <v>73</v>
      </c>
      <c r="B85" s="64">
        <v>48600000</v>
      </c>
      <c r="C85" s="63" t="s">
        <v>68</v>
      </c>
      <c r="D85" s="26">
        <v>4000</v>
      </c>
      <c r="E85" s="63" t="s">
        <v>23</v>
      </c>
      <c r="F85" s="31" t="s">
        <v>151</v>
      </c>
      <c r="G85" s="31" t="s">
        <v>151</v>
      </c>
      <c r="H85" s="32" t="s">
        <v>69</v>
      </c>
    </row>
    <row r="86" spans="1:8" s="3" customFormat="1" ht="31.5" customHeight="1" x14ac:dyDescent="0.2">
      <c r="A86" s="63">
        <v>74</v>
      </c>
      <c r="B86" s="71">
        <v>50100000</v>
      </c>
      <c r="C86" s="71" t="s">
        <v>70</v>
      </c>
      <c r="D86" s="10">
        <f>165160-134330</f>
        <v>30830</v>
      </c>
      <c r="E86" s="63" t="s">
        <v>17</v>
      </c>
      <c r="F86" s="31" t="s">
        <v>18</v>
      </c>
      <c r="G86" s="31" t="s">
        <v>19</v>
      </c>
      <c r="H86" s="32" t="s">
        <v>20</v>
      </c>
    </row>
    <row r="87" spans="1:8" s="3" customFormat="1" ht="37.5" customHeight="1" x14ac:dyDescent="0.2">
      <c r="A87" s="63">
        <v>75</v>
      </c>
      <c r="B87" s="71"/>
      <c r="C87" s="71"/>
      <c r="D87" s="10">
        <f>765000+250000</f>
        <v>1015000</v>
      </c>
      <c r="E87" s="63" t="s">
        <v>32</v>
      </c>
      <c r="F87" s="31" t="s">
        <v>18</v>
      </c>
      <c r="G87" s="31" t="s">
        <v>19</v>
      </c>
      <c r="H87" s="32"/>
    </row>
    <row r="88" spans="1:8" s="3" customFormat="1" ht="39.75" customHeight="1" x14ac:dyDescent="0.2">
      <c r="A88" s="63">
        <v>76</v>
      </c>
      <c r="B88" s="71"/>
      <c r="C88" s="71"/>
      <c r="D88" s="10">
        <f>235000+20000</f>
        <v>255000</v>
      </c>
      <c r="E88" s="63" t="s">
        <v>23</v>
      </c>
      <c r="F88" s="31" t="s">
        <v>18</v>
      </c>
      <c r="G88" s="31" t="s">
        <v>19</v>
      </c>
      <c r="H88" s="32" t="s">
        <v>71</v>
      </c>
    </row>
    <row r="89" spans="1:8" s="3" customFormat="1" ht="49.5" customHeight="1" x14ac:dyDescent="0.2">
      <c r="A89" s="63">
        <v>77</v>
      </c>
      <c r="B89" s="63">
        <v>50500000</v>
      </c>
      <c r="C89" s="63" t="s">
        <v>74</v>
      </c>
      <c r="D89" s="10">
        <f>2500+5000</f>
        <v>7500</v>
      </c>
      <c r="E89" s="63" t="s">
        <v>23</v>
      </c>
      <c r="F89" s="31" t="s">
        <v>18</v>
      </c>
      <c r="G89" s="31" t="s">
        <v>19</v>
      </c>
      <c r="H89" s="32"/>
    </row>
    <row r="90" spans="1:8" s="3" customFormat="1" ht="39" customHeight="1" x14ac:dyDescent="0.2">
      <c r="A90" s="63">
        <v>78</v>
      </c>
      <c r="B90" s="63">
        <v>50700000</v>
      </c>
      <c r="C90" s="63" t="s">
        <v>75</v>
      </c>
      <c r="D90" s="10">
        <v>5000</v>
      </c>
      <c r="E90" s="63" t="s">
        <v>23</v>
      </c>
      <c r="F90" s="31" t="s">
        <v>18</v>
      </c>
      <c r="G90" s="31" t="s">
        <v>19</v>
      </c>
      <c r="H90" s="32"/>
    </row>
    <row r="91" spans="1:8" s="3" customFormat="1" ht="39" customHeight="1" x14ac:dyDescent="0.2">
      <c r="A91" s="63">
        <v>79</v>
      </c>
      <c r="B91" s="63">
        <v>50800000</v>
      </c>
      <c r="C91" s="63" t="s">
        <v>131</v>
      </c>
      <c r="D91" s="10">
        <v>3000</v>
      </c>
      <c r="E91" s="63" t="s">
        <v>23</v>
      </c>
      <c r="F91" s="31" t="s">
        <v>25</v>
      </c>
      <c r="G91" s="31" t="s">
        <v>26</v>
      </c>
      <c r="H91" s="32"/>
    </row>
    <row r="92" spans="1:8" s="61" customFormat="1" ht="31.5" customHeight="1" x14ac:dyDescent="0.2">
      <c r="A92" s="63">
        <v>80</v>
      </c>
      <c r="B92" s="72">
        <v>55300000</v>
      </c>
      <c r="C92" s="72" t="s">
        <v>76</v>
      </c>
      <c r="D92" s="10">
        <f>20000+8000</f>
        <v>28000</v>
      </c>
      <c r="E92" s="63" t="s">
        <v>23</v>
      </c>
      <c r="F92" s="31" t="s">
        <v>18</v>
      </c>
      <c r="G92" s="31" t="s">
        <v>19</v>
      </c>
      <c r="H92" s="32" t="s">
        <v>28</v>
      </c>
    </row>
    <row r="93" spans="1:8" s="61" customFormat="1" ht="33.75" customHeight="1" x14ac:dyDescent="0.2">
      <c r="A93" s="63">
        <v>81</v>
      </c>
      <c r="B93" s="73"/>
      <c r="C93" s="73"/>
      <c r="D93" s="10">
        <v>9900</v>
      </c>
      <c r="E93" s="63" t="s">
        <v>23</v>
      </c>
      <c r="F93" s="31" t="s">
        <v>18</v>
      </c>
      <c r="G93" s="31" t="s">
        <v>19</v>
      </c>
      <c r="H93" s="32"/>
    </row>
    <row r="94" spans="1:8" s="3" customFormat="1" ht="37.5" customHeight="1" x14ac:dyDescent="0.2">
      <c r="A94" s="63">
        <v>82</v>
      </c>
      <c r="B94" s="63">
        <v>60100000</v>
      </c>
      <c r="C94" s="63" t="s">
        <v>77</v>
      </c>
      <c r="D94" s="10">
        <v>9900</v>
      </c>
      <c r="E94" s="63" t="s">
        <v>23</v>
      </c>
      <c r="F94" s="31" t="s">
        <v>18</v>
      </c>
      <c r="G94" s="31" t="s">
        <v>19</v>
      </c>
      <c r="H94" s="32"/>
    </row>
    <row r="95" spans="1:8" s="3" customFormat="1" ht="36.75" customHeight="1" x14ac:dyDescent="0.2">
      <c r="A95" s="63">
        <v>83</v>
      </c>
      <c r="B95" s="63">
        <v>63100000</v>
      </c>
      <c r="C95" s="63" t="s">
        <v>78</v>
      </c>
      <c r="D95" s="10">
        <v>9900</v>
      </c>
      <c r="E95" s="63" t="s">
        <v>23</v>
      </c>
      <c r="F95" s="31" t="s">
        <v>18</v>
      </c>
      <c r="G95" s="31" t="s">
        <v>19</v>
      </c>
      <c r="H95" s="32"/>
    </row>
    <row r="96" spans="1:8" s="61" customFormat="1" ht="32.25" customHeight="1" x14ac:dyDescent="0.2">
      <c r="A96" s="63">
        <v>84</v>
      </c>
      <c r="B96" s="72">
        <v>63700000</v>
      </c>
      <c r="C96" s="72" t="s">
        <v>79</v>
      </c>
      <c r="D96" s="10">
        <f>2000+1150</f>
        <v>3150</v>
      </c>
      <c r="E96" s="63" t="s">
        <v>23</v>
      </c>
      <c r="F96" s="31" t="s">
        <v>18</v>
      </c>
      <c r="G96" s="31" t="s">
        <v>19</v>
      </c>
      <c r="H96" s="32" t="s">
        <v>69</v>
      </c>
    </row>
    <row r="97" spans="1:8" s="61" customFormat="1" ht="30.75" customHeight="1" x14ac:dyDescent="0.2">
      <c r="A97" s="63">
        <v>85</v>
      </c>
      <c r="B97" s="74"/>
      <c r="C97" s="74"/>
      <c r="D97" s="10">
        <v>80000</v>
      </c>
      <c r="E97" s="63" t="s">
        <v>32</v>
      </c>
      <c r="F97" s="31" t="s">
        <v>18</v>
      </c>
      <c r="G97" s="31" t="s">
        <v>19</v>
      </c>
      <c r="H97" s="32"/>
    </row>
    <row r="98" spans="1:8" s="61" customFormat="1" ht="30.75" customHeight="1" x14ac:dyDescent="0.2">
      <c r="A98" s="63">
        <v>86</v>
      </c>
      <c r="B98" s="73"/>
      <c r="C98" s="73"/>
      <c r="D98" s="16">
        <v>3850</v>
      </c>
      <c r="E98" s="63" t="s">
        <v>32</v>
      </c>
      <c r="F98" s="31" t="s">
        <v>150</v>
      </c>
      <c r="G98" s="31" t="s">
        <v>151</v>
      </c>
      <c r="H98" s="60"/>
    </row>
    <row r="99" spans="1:8" s="3" customFormat="1" ht="39" customHeight="1" x14ac:dyDescent="0.2">
      <c r="A99" s="63">
        <v>87</v>
      </c>
      <c r="B99" s="63">
        <v>65100000</v>
      </c>
      <c r="C99" s="63" t="s">
        <v>132</v>
      </c>
      <c r="D99" s="10">
        <f>2400+240</f>
        <v>2640</v>
      </c>
      <c r="E99" s="63" t="s">
        <v>23</v>
      </c>
      <c r="F99" s="31" t="s">
        <v>18</v>
      </c>
      <c r="G99" s="31" t="s">
        <v>19</v>
      </c>
      <c r="H99" s="32"/>
    </row>
    <row r="100" spans="1:8" s="3" customFormat="1" ht="35.25" customHeight="1" x14ac:dyDescent="0.2">
      <c r="A100" s="63">
        <v>88</v>
      </c>
      <c r="B100" s="72">
        <v>66500000</v>
      </c>
      <c r="C100" s="72" t="s">
        <v>84</v>
      </c>
      <c r="D100" s="35">
        <f>300000-85000</f>
        <v>215000</v>
      </c>
      <c r="E100" s="63" t="s">
        <v>17</v>
      </c>
      <c r="F100" s="31" t="s">
        <v>18</v>
      </c>
      <c r="G100" s="31" t="s">
        <v>19</v>
      </c>
      <c r="H100" s="32" t="s">
        <v>20</v>
      </c>
    </row>
    <row r="101" spans="1:8" s="3" customFormat="1" ht="35.25" customHeight="1" x14ac:dyDescent="0.2">
      <c r="A101" s="63">
        <v>89</v>
      </c>
      <c r="B101" s="73"/>
      <c r="C101" s="73"/>
      <c r="D101" s="35">
        <v>130000</v>
      </c>
      <c r="E101" s="63" t="s">
        <v>32</v>
      </c>
      <c r="F101" s="31" t="s">
        <v>25</v>
      </c>
      <c r="G101" s="31" t="s">
        <v>26</v>
      </c>
      <c r="H101" s="32"/>
    </row>
    <row r="102" spans="1:8" s="3" customFormat="1" ht="40.5" customHeight="1" x14ac:dyDescent="0.2">
      <c r="A102" s="63">
        <v>90</v>
      </c>
      <c r="B102" s="63">
        <v>71200000</v>
      </c>
      <c r="C102" s="63" t="s">
        <v>133</v>
      </c>
      <c r="D102" s="16">
        <v>8000</v>
      </c>
      <c r="E102" s="63" t="s">
        <v>23</v>
      </c>
      <c r="F102" s="31" t="s">
        <v>25</v>
      </c>
      <c r="G102" s="31" t="s">
        <v>26</v>
      </c>
      <c r="H102" s="33"/>
    </row>
    <row r="103" spans="1:8" s="3" customFormat="1" ht="33.75" customHeight="1" x14ac:dyDescent="0.2">
      <c r="A103" s="63">
        <v>91</v>
      </c>
      <c r="B103" s="72">
        <v>71300000</v>
      </c>
      <c r="C103" s="72" t="s">
        <v>161</v>
      </c>
      <c r="D103" s="16">
        <v>500</v>
      </c>
      <c r="E103" s="63" t="s">
        <v>23</v>
      </c>
      <c r="F103" s="31" t="s">
        <v>150</v>
      </c>
      <c r="G103" s="31" t="s">
        <v>151</v>
      </c>
      <c r="H103" s="33"/>
    </row>
    <row r="104" spans="1:8" s="3" customFormat="1" ht="33.75" customHeight="1" x14ac:dyDescent="0.2">
      <c r="A104" s="63">
        <v>92</v>
      </c>
      <c r="B104" s="73"/>
      <c r="C104" s="73"/>
      <c r="D104" s="10">
        <v>700</v>
      </c>
      <c r="E104" s="63" t="s">
        <v>23</v>
      </c>
      <c r="F104" s="31" t="s">
        <v>97</v>
      </c>
      <c r="G104" s="31" t="s">
        <v>97</v>
      </c>
      <c r="H104" s="33"/>
    </row>
    <row r="105" spans="1:8" s="3" customFormat="1" ht="36.75" customHeight="1" x14ac:dyDescent="0.2">
      <c r="A105" s="63">
        <v>93</v>
      </c>
      <c r="B105" s="63">
        <v>71500000</v>
      </c>
      <c r="C105" s="63" t="s">
        <v>162</v>
      </c>
      <c r="D105" s="10">
        <v>1800</v>
      </c>
      <c r="E105" s="63" t="s">
        <v>23</v>
      </c>
      <c r="F105" s="31" t="s">
        <v>150</v>
      </c>
      <c r="G105" s="31" t="s">
        <v>151</v>
      </c>
      <c r="H105" s="32"/>
    </row>
    <row r="106" spans="1:8" s="3" customFormat="1" ht="39" customHeight="1" x14ac:dyDescent="0.2">
      <c r="A106" s="63">
        <v>94</v>
      </c>
      <c r="B106" s="63">
        <v>71600000</v>
      </c>
      <c r="C106" s="63" t="s">
        <v>134</v>
      </c>
      <c r="D106" s="10">
        <v>9500</v>
      </c>
      <c r="E106" s="63" t="s">
        <v>23</v>
      </c>
      <c r="F106" s="31" t="s">
        <v>18</v>
      </c>
      <c r="G106" s="31" t="s">
        <v>19</v>
      </c>
      <c r="H106" s="32" t="s">
        <v>69</v>
      </c>
    </row>
    <row r="107" spans="1:8" s="3" customFormat="1" ht="38.25" customHeight="1" x14ac:dyDescent="0.2">
      <c r="A107" s="63">
        <v>95</v>
      </c>
      <c r="B107" s="72">
        <v>72200000</v>
      </c>
      <c r="C107" s="72" t="s">
        <v>85</v>
      </c>
      <c r="D107" s="10">
        <v>9900</v>
      </c>
      <c r="E107" s="63" t="s">
        <v>23</v>
      </c>
      <c r="F107" s="31" t="s">
        <v>18</v>
      </c>
      <c r="G107" s="31" t="s">
        <v>19</v>
      </c>
      <c r="H107" s="32"/>
    </row>
    <row r="108" spans="1:8" s="3" customFormat="1" ht="38.25" customHeight="1" x14ac:dyDescent="0.2">
      <c r="A108" s="63">
        <v>96</v>
      </c>
      <c r="B108" s="73"/>
      <c r="C108" s="73"/>
      <c r="D108" s="10">
        <f>100000+5000</f>
        <v>105000</v>
      </c>
      <c r="E108" s="63" t="s">
        <v>23</v>
      </c>
      <c r="F108" s="31" t="s">
        <v>25</v>
      </c>
      <c r="G108" s="31" t="s">
        <v>26</v>
      </c>
      <c r="H108" s="32" t="s">
        <v>69</v>
      </c>
    </row>
    <row r="109" spans="1:8" s="3" customFormat="1" ht="39" customHeight="1" x14ac:dyDescent="0.2">
      <c r="A109" s="63">
        <v>97</v>
      </c>
      <c r="B109" s="62">
        <v>72400000</v>
      </c>
      <c r="C109" s="62" t="s">
        <v>87</v>
      </c>
      <c r="D109" s="10">
        <v>500</v>
      </c>
      <c r="E109" s="63" t="s">
        <v>88</v>
      </c>
      <c r="F109" s="31" t="s">
        <v>18</v>
      </c>
      <c r="G109" s="31" t="s">
        <v>19</v>
      </c>
      <c r="H109" s="32"/>
    </row>
    <row r="110" spans="1:8" s="3" customFormat="1" ht="31.5" customHeight="1" x14ac:dyDescent="0.2">
      <c r="A110" s="63">
        <v>98</v>
      </c>
      <c r="B110" s="63">
        <v>75100000</v>
      </c>
      <c r="C110" s="63" t="s">
        <v>89</v>
      </c>
      <c r="D110" s="10">
        <v>10000</v>
      </c>
      <c r="E110" s="63" t="s">
        <v>23</v>
      </c>
      <c r="F110" s="31" t="s">
        <v>18</v>
      </c>
      <c r="G110" s="31" t="s">
        <v>19</v>
      </c>
      <c r="H110" s="32" t="s">
        <v>69</v>
      </c>
    </row>
    <row r="111" spans="1:8" s="3" customFormat="1" ht="35.25" customHeight="1" x14ac:dyDescent="0.2">
      <c r="A111" s="63">
        <v>99</v>
      </c>
      <c r="B111" s="63">
        <v>76400000</v>
      </c>
      <c r="C111" s="63" t="s">
        <v>90</v>
      </c>
      <c r="D111" s="16">
        <f>9990-390</f>
        <v>9600</v>
      </c>
      <c r="E111" s="63" t="s">
        <v>23</v>
      </c>
      <c r="F111" s="31" t="s">
        <v>18</v>
      </c>
      <c r="G111" s="31" t="s">
        <v>19</v>
      </c>
      <c r="H111" s="32"/>
    </row>
    <row r="112" spans="1:8" s="3" customFormat="1" ht="57" customHeight="1" x14ac:dyDescent="0.2">
      <c r="A112" s="63">
        <v>100</v>
      </c>
      <c r="B112" s="62">
        <v>77200000</v>
      </c>
      <c r="C112" s="62" t="s">
        <v>91</v>
      </c>
      <c r="D112" s="10">
        <f>14900605-5000-245000</f>
        <v>14650605</v>
      </c>
      <c r="E112" s="63" t="s">
        <v>32</v>
      </c>
      <c r="F112" s="31" t="s">
        <v>18</v>
      </c>
      <c r="G112" s="31" t="s">
        <v>19</v>
      </c>
      <c r="H112" s="32"/>
    </row>
    <row r="113" spans="1:8" s="3" customFormat="1" ht="33.75" customHeight="1" x14ac:dyDescent="0.2">
      <c r="A113" s="63">
        <v>101</v>
      </c>
      <c r="B113" s="63">
        <v>77300000</v>
      </c>
      <c r="C113" s="63" t="s">
        <v>135</v>
      </c>
      <c r="D113" s="10">
        <f>4787000-455000</f>
        <v>4332000</v>
      </c>
      <c r="E113" s="63" t="s">
        <v>32</v>
      </c>
      <c r="F113" s="31" t="s">
        <v>18</v>
      </c>
      <c r="G113" s="31" t="s">
        <v>19</v>
      </c>
      <c r="H113" s="32"/>
    </row>
    <row r="114" spans="1:8" s="3" customFormat="1" ht="33" customHeight="1" x14ac:dyDescent="0.2">
      <c r="A114" s="63">
        <v>102</v>
      </c>
      <c r="B114" s="63">
        <v>79300000</v>
      </c>
      <c r="C114" s="63" t="s">
        <v>136</v>
      </c>
      <c r="D114" s="10">
        <v>9000</v>
      </c>
      <c r="E114" s="63" t="s">
        <v>88</v>
      </c>
      <c r="F114" s="31" t="s">
        <v>18</v>
      </c>
      <c r="G114" s="31" t="s">
        <v>19</v>
      </c>
      <c r="H114" s="32"/>
    </row>
    <row r="115" spans="1:8" s="3" customFormat="1" ht="33" customHeight="1" x14ac:dyDescent="0.2">
      <c r="A115" s="63">
        <v>103</v>
      </c>
      <c r="B115" s="63">
        <v>79400000</v>
      </c>
      <c r="C115" s="63" t="s">
        <v>137</v>
      </c>
      <c r="D115" s="10">
        <v>9000</v>
      </c>
      <c r="E115" s="63" t="s">
        <v>88</v>
      </c>
      <c r="F115" s="31" t="s">
        <v>18</v>
      </c>
      <c r="G115" s="31" t="s">
        <v>19</v>
      </c>
      <c r="H115" s="32"/>
    </row>
    <row r="116" spans="1:8" s="3" customFormat="1" ht="30" customHeight="1" x14ac:dyDescent="0.2">
      <c r="A116" s="63">
        <v>104</v>
      </c>
      <c r="B116" s="63">
        <v>79500000</v>
      </c>
      <c r="C116" s="63" t="s">
        <v>138</v>
      </c>
      <c r="D116" s="10">
        <v>5560</v>
      </c>
      <c r="E116" s="63" t="s">
        <v>23</v>
      </c>
      <c r="F116" s="31" t="s">
        <v>18</v>
      </c>
      <c r="G116" s="31" t="s">
        <v>19</v>
      </c>
      <c r="H116" s="32"/>
    </row>
    <row r="117" spans="1:8" s="3" customFormat="1" ht="40.5" customHeight="1" x14ac:dyDescent="0.2">
      <c r="A117" s="63">
        <v>105</v>
      </c>
      <c r="B117" s="72">
        <v>79900000</v>
      </c>
      <c r="C117" s="72" t="s">
        <v>93</v>
      </c>
      <c r="D117" s="10">
        <f>5000</f>
        <v>5000</v>
      </c>
      <c r="E117" s="63" t="s">
        <v>23</v>
      </c>
      <c r="F117" s="31" t="s">
        <v>18</v>
      </c>
      <c r="G117" s="31" t="s">
        <v>19</v>
      </c>
      <c r="H117" s="32" t="s">
        <v>69</v>
      </c>
    </row>
    <row r="118" spans="1:8" s="3" customFormat="1" ht="40.5" customHeight="1" x14ac:dyDescent="0.2">
      <c r="A118" s="63">
        <v>106</v>
      </c>
      <c r="B118" s="74"/>
      <c r="C118" s="74"/>
      <c r="D118" s="10">
        <v>9990</v>
      </c>
      <c r="E118" s="63" t="s">
        <v>23</v>
      </c>
      <c r="F118" s="31" t="s">
        <v>18</v>
      </c>
      <c r="G118" s="31" t="s">
        <v>19</v>
      </c>
      <c r="H118" s="32"/>
    </row>
    <row r="119" spans="1:8" s="3" customFormat="1" ht="40.5" customHeight="1" x14ac:dyDescent="0.2">
      <c r="A119" s="63">
        <v>107</v>
      </c>
      <c r="B119" s="73"/>
      <c r="C119" s="73"/>
      <c r="D119" s="10">
        <f>24500+5000</f>
        <v>29500</v>
      </c>
      <c r="E119" s="63" t="s">
        <v>23</v>
      </c>
      <c r="F119" s="31" t="s">
        <v>151</v>
      </c>
      <c r="G119" s="31" t="s">
        <v>151</v>
      </c>
      <c r="H119" s="32" t="s">
        <v>28</v>
      </c>
    </row>
    <row r="120" spans="1:8" s="3" customFormat="1" ht="33" customHeight="1" x14ac:dyDescent="0.2">
      <c r="A120" s="63">
        <v>108</v>
      </c>
      <c r="B120" s="63">
        <v>80500000</v>
      </c>
      <c r="C120" s="63" t="s">
        <v>94</v>
      </c>
      <c r="D120" s="10">
        <v>9900</v>
      </c>
      <c r="E120" s="63" t="s">
        <v>23</v>
      </c>
      <c r="F120" s="31" t="s">
        <v>18</v>
      </c>
      <c r="G120" s="31" t="s">
        <v>19</v>
      </c>
      <c r="H120" s="32"/>
    </row>
    <row r="121" spans="1:8" s="3" customFormat="1" ht="34.5" customHeight="1" x14ac:dyDescent="0.2">
      <c r="A121" s="63">
        <v>109</v>
      </c>
      <c r="B121" s="63">
        <v>90400000</v>
      </c>
      <c r="C121" s="63" t="s">
        <v>139</v>
      </c>
      <c r="D121" s="10">
        <f>9000-80</f>
        <v>8920</v>
      </c>
      <c r="E121" s="63" t="s">
        <v>23</v>
      </c>
      <c r="F121" s="31" t="s">
        <v>18</v>
      </c>
      <c r="G121" s="31" t="s">
        <v>19</v>
      </c>
      <c r="H121" s="32"/>
    </row>
    <row r="122" spans="1:8" s="3" customFormat="1" ht="36" customHeight="1" x14ac:dyDescent="0.2">
      <c r="A122" s="63">
        <v>110</v>
      </c>
      <c r="B122" s="63">
        <v>90900000</v>
      </c>
      <c r="C122" s="63" t="s">
        <v>95</v>
      </c>
      <c r="D122" s="10">
        <f>39250-32250</f>
        <v>7000</v>
      </c>
      <c r="E122" s="63" t="s">
        <v>23</v>
      </c>
      <c r="F122" s="31" t="s">
        <v>18</v>
      </c>
      <c r="G122" s="31" t="s">
        <v>19</v>
      </c>
      <c r="H122" s="32"/>
    </row>
    <row r="123" spans="1:8" s="3" customFormat="1" ht="35.25" customHeight="1" x14ac:dyDescent="0.2">
      <c r="A123" s="63">
        <v>111</v>
      </c>
      <c r="B123" s="72">
        <v>92100000</v>
      </c>
      <c r="C123" s="72" t="s">
        <v>96</v>
      </c>
      <c r="D123" s="10">
        <f>9900+90</f>
        <v>9990</v>
      </c>
      <c r="E123" s="63" t="s">
        <v>23</v>
      </c>
      <c r="F123" s="31" t="s">
        <v>18</v>
      </c>
      <c r="G123" s="31" t="s">
        <v>19</v>
      </c>
      <c r="H123" s="32"/>
    </row>
    <row r="124" spans="1:8" s="3" customFormat="1" ht="35.25" customHeight="1" x14ac:dyDescent="0.2">
      <c r="A124" s="63">
        <v>112</v>
      </c>
      <c r="B124" s="73"/>
      <c r="C124" s="73"/>
      <c r="D124" s="10">
        <v>10000</v>
      </c>
      <c r="E124" s="63" t="s">
        <v>32</v>
      </c>
      <c r="F124" s="31" t="s">
        <v>97</v>
      </c>
      <c r="G124" s="31" t="s">
        <v>97</v>
      </c>
      <c r="H124" s="32"/>
    </row>
    <row r="125" spans="1:8" s="3" customFormat="1" ht="36" customHeight="1" x14ac:dyDescent="0.2">
      <c r="A125" s="63">
        <v>113</v>
      </c>
      <c r="B125" s="62">
        <v>92200000</v>
      </c>
      <c r="C125" s="62" t="s">
        <v>98</v>
      </c>
      <c r="D125" s="10">
        <f>82000-82000</f>
        <v>0</v>
      </c>
      <c r="E125" s="63" t="s">
        <v>17</v>
      </c>
      <c r="F125" s="31" t="s">
        <v>18</v>
      </c>
      <c r="G125" s="31" t="s">
        <v>19</v>
      </c>
      <c r="H125" s="32" t="s">
        <v>20</v>
      </c>
    </row>
    <row r="126" spans="1:8" s="3" customFormat="1" ht="37.5" customHeight="1" x14ac:dyDescent="0.2">
      <c r="A126" s="63">
        <v>114</v>
      </c>
      <c r="B126" s="63">
        <v>92500000</v>
      </c>
      <c r="C126" s="63" t="s">
        <v>100</v>
      </c>
      <c r="D126" s="10">
        <f>19100-19100</f>
        <v>0</v>
      </c>
      <c r="E126" s="63" t="s">
        <v>23</v>
      </c>
      <c r="F126" s="31" t="s">
        <v>18</v>
      </c>
      <c r="G126" s="31" t="s">
        <v>19</v>
      </c>
      <c r="H126" s="32" t="s">
        <v>69</v>
      </c>
    </row>
    <row r="127" spans="1:8" s="4" customFormat="1" ht="15.75" x14ac:dyDescent="0.2">
      <c r="A127" s="66"/>
      <c r="B127" s="66"/>
      <c r="C127" s="116"/>
      <c r="D127" s="27"/>
      <c r="E127" s="18"/>
      <c r="F127" s="28"/>
      <c r="G127" s="18"/>
    </row>
    <row r="128" spans="1:8" ht="17.25" customHeight="1" x14ac:dyDescent="0.2">
      <c r="A128" s="4"/>
      <c r="B128" s="29"/>
      <c r="C128" s="18"/>
      <c r="D128" s="30"/>
      <c r="E128" s="66"/>
      <c r="F128" s="25"/>
      <c r="G128" s="66"/>
      <c r="H128" s="117"/>
    </row>
    <row r="129" spans="1:8" ht="27.75" customHeight="1" x14ac:dyDescent="0.2">
      <c r="A129" s="4"/>
      <c r="B129" s="97" t="s">
        <v>140</v>
      </c>
      <c r="C129" s="97"/>
      <c r="H129" s="117"/>
    </row>
    <row r="130" spans="1:8" ht="13.5" customHeight="1" x14ac:dyDescent="0.2">
      <c r="A130" s="4"/>
      <c r="B130" s="4"/>
      <c r="D130" s="22"/>
      <c r="E130" s="98" t="s">
        <v>102</v>
      </c>
      <c r="F130" s="98"/>
      <c r="H130" s="117"/>
    </row>
    <row r="131" spans="1:8" ht="20.25" customHeight="1" x14ac:dyDescent="0.2">
      <c r="A131" s="4"/>
      <c r="B131" s="4"/>
      <c r="H131" s="117"/>
    </row>
    <row r="132" spans="1:8" x14ac:dyDescent="0.2">
      <c r="B132" s="4"/>
    </row>
    <row r="133" spans="1:8" x14ac:dyDescent="0.2">
      <c r="A133" s="4"/>
      <c r="B133" s="99"/>
      <c r="C133" s="99"/>
      <c r="D133" s="67"/>
    </row>
    <row r="134" spans="1:8" ht="13.5" customHeight="1" x14ac:dyDescent="0.2">
      <c r="A134" s="4"/>
      <c r="B134" s="97" t="s">
        <v>103</v>
      </c>
      <c r="C134" s="97"/>
      <c r="D134" s="65"/>
    </row>
    <row r="135" spans="1:8" x14ac:dyDescent="0.2">
      <c r="A135" s="4"/>
      <c r="B135" s="4"/>
      <c r="E135" s="98" t="s">
        <v>102</v>
      </c>
      <c r="F135" s="98"/>
    </row>
    <row r="136" spans="1:8" ht="16.5" customHeight="1" x14ac:dyDescent="0.2">
      <c r="A136" s="4"/>
      <c r="B136" s="4"/>
    </row>
    <row r="137" spans="1:8" x14ac:dyDescent="0.2">
      <c r="A137" s="4"/>
    </row>
    <row r="138" spans="1:8" x14ac:dyDescent="0.2">
      <c r="C138" s="118"/>
      <c r="D138" s="20"/>
    </row>
    <row r="142" spans="1:8" x14ac:dyDescent="0.2">
      <c r="B142" s="99"/>
      <c r="C142" s="99"/>
      <c r="D142" s="67"/>
    </row>
    <row r="149" spans="3:5" x14ac:dyDescent="0.2">
      <c r="C149" s="70"/>
    </row>
    <row r="150" spans="3:5" x14ac:dyDescent="0.2">
      <c r="C150" s="70"/>
      <c r="E150" s="70"/>
    </row>
    <row r="151" spans="3:5" ht="19.5" customHeight="1" x14ac:dyDescent="0.2">
      <c r="C151" s="70"/>
    </row>
    <row r="153" spans="3:5" ht="24.75" customHeight="1" x14ac:dyDescent="0.2">
      <c r="C153" s="18"/>
    </row>
    <row r="154" spans="3:5" ht="22.5" customHeight="1" x14ac:dyDescent="0.2"/>
    <row r="155" spans="3:5" x14ac:dyDescent="0.2">
      <c r="C155" s="24"/>
    </row>
  </sheetData>
  <sheetProtection algorithmName="SHA-512" hashValue="yc0WlQsC5DIAKrsiyMNMQI8XGbyI5m80riThu8BOUzx5Q3Du6I7oxOMmRyStb9nWwwlYD1SIPC9y617eoQP2lg==" saltValue="52ndaxYS/0g2HxJz0V4ryg==" spinCount="100000" sheet="1" objects="1" scenarios="1"/>
  <mergeCells count="55">
    <mergeCell ref="E135:F135"/>
    <mergeCell ref="B142:C142"/>
    <mergeCell ref="B100:B101"/>
    <mergeCell ref="C100:C101"/>
    <mergeCell ref="B103:B104"/>
    <mergeCell ref="C103:C104"/>
    <mergeCell ref="B107:B108"/>
    <mergeCell ref="C107:C108"/>
    <mergeCell ref="B86:B88"/>
    <mergeCell ref="C86:C88"/>
    <mergeCell ref="B92:B93"/>
    <mergeCell ref="C92:C93"/>
    <mergeCell ref="B96:B98"/>
    <mergeCell ref="C96:C98"/>
    <mergeCell ref="B71:B72"/>
    <mergeCell ref="C71:C72"/>
    <mergeCell ref="B76:B77"/>
    <mergeCell ref="C76:C77"/>
    <mergeCell ref="B80:B81"/>
    <mergeCell ref="C80:C81"/>
    <mergeCell ref="B55:B56"/>
    <mergeCell ref="C55:C56"/>
    <mergeCell ref="B57:B59"/>
    <mergeCell ref="C57:C59"/>
    <mergeCell ref="B62:B63"/>
    <mergeCell ref="C62:C63"/>
    <mergeCell ref="B134:C134"/>
    <mergeCell ref="B123:B124"/>
    <mergeCell ref="C123:C124"/>
    <mergeCell ref="B129:C129"/>
    <mergeCell ref="E130:F130"/>
    <mergeCell ref="B133:C133"/>
    <mergeCell ref="B117:B119"/>
    <mergeCell ref="C117:C119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22:B23"/>
    <mergeCell ref="C22:C23"/>
    <mergeCell ref="B33:B34"/>
    <mergeCell ref="C33:C34"/>
    <mergeCell ref="B35:B38"/>
    <mergeCell ref="C35:C38"/>
    <mergeCell ref="B49:B50"/>
    <mergeCell ref="C49:C50"/>
    <mergeCell ref="B51:B52"/>
    <mergeCell ref="C51:C52"/>
    <mergeCell ref="B69:B70"/>
    <mergeCell ref="C69:C70"/>
  </mergeCells>
  <pageMargins left="0.7" right="0.7" top="0.75" bottom="0.75" header="0.3" footer="0.3"/>
  <pageSetup orientation="portrait" r:id="rId1"/>
  <ignoredErrors>
    <ignoredError sqref="B1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workbookViewId="0">
      <selection activeCell="S13" sqref="S13"/>
    </sheetView>
  </sheetViews>
  <sheetFormatPr defaultRowHeight="13.5" x14ac:dyDescent="0.2"/>
  <cols>
    <col min="1" max="1" width="3.85546875" style="39" customWidth="1"/>
    <col min="2" max="2" width="10" style="23" customWidth="1"/>
    <col min="3" max="3" width="53.7109375" style="4" customWidth="1"/>
    <col min="4" max="4" width="13.5703125" style="1" bestFit="1" customWidth="1"/>
    <col min="5" max="5" width="10.42578125" style="4" customWidth="1"/>
    <col min="6" max="6" width="11.85546875" style="4" customWidth="1"/>
    <col min="7" max="7" width="10.7109375" style="4" customWidth="1"/>
    <col min="8" max="8" width="30.140625" style="4" customWidth="1"/>
    <col min="9" max="16384" width="9.140625" style="4"/>
  </cols>
  <sheetData>
    <row r="1" spans="1:8" ht="18" customHeight="1" x14ac:dyDescent="0.2"/>
    <row r="2" spans="1:8" ht="28.5" customHeight="1" x14ac:dyDescent="0.2">
      <c r="B2" s="4"/>
      <c r="H2" s="6" t="s">
        <v>146</v>
      </c>
    </row>
    <row r="3" spans="1:8" ht="20.25" customHeight="1" x14ac:dyDescent="0.2">
      <c r="B3" s="4"/>
      <c r="C3" s="75" t="s">
        <v>142</v>
      </c>
      <c r="D3" s="75"/>
      <c r="E3" s="75"/>
      <c r="F3" s="75"/>
      <c r="G3" s="75"/>
    </row>
    <row r="4" spans="1:8" ht="26.25" customHeight="1" x14ac:dyDescent="0.2">
      <c r="A4" s="76" t="s">
        <v>147</v>
      </c>
      <c r="B4" s="77"/>
      <c r="C4" s="77"/>
      <c r="D4" s="77"/>
      <c r="E4" s="78"/>
      <c r="F4" s="82" t="s">
        <v>2</v>
      </c>
      <c r="G4" s="83"/>
      <c r="H4" s="84"/>
    </row>
    <row r="5" spans="1:8" ht="18.75" customHeight="1" x14ac:dyDescent="0.2">
      <c r="A5" s="79"/>
      <c r="B5" s="80"/>
      <c r="C5" s="80"/>
      <c r="D5" s="80"/>
      <c r="E5" s="81"/>
      <c r="F5" s="85">
        <v>204578581</v>
      </c>
      <c r="G5" s="86"/>
      <c r="H5" s="87"/>
    </row>
    <row r="6" spans="1:8" ht="25.5" customHeight="1" x14ac:dyDescent="0.2">
      <c r="A6" s="76" t="s">
        <v>3</v>
      </c>
      <c r="B6" s="77"/>
      <c r="C6" s="77"/>
      <c r="D6" s="77"/>
      <c r="E6" s="78"/>
      <c r="F6" s="76" t="s">
        <v>148</v>
      </c>
      <c r="G6" s="88"/>
      <c r="H6" s="89"/>
    </row>
    <row r="7" spans="1:8" ht="43.5" customHeight="1" x14ac:dyDescent="0.2">
      <c r="A7" s="85" t="s">
        <v>149</v>
      </c>
      <c r="B7" s="86"/>
      <c r="C7" s="86"/>
      <c r="D7" s="86"/>
      <c r="E7" s="87"/>
      <c r="F7" s="90"/>
      <c r="G7" s="91"/>
      <c r="H7" s="92"/>
    </row>
    <row r="8" spans="1:8" ht="21" customHeight="1" x14ac:dyDescent="0.2">
      <c r="A8" s="76" t="s">
        <v>6</v>
      </c>
      <c r="B8" s="77"/>
      <c r="C8" s="77"/>
      <c r="D8" s="77"/>
      <c r="E8" s="77"/>
      <c r="F8" s="77"/>
      <c r="G8" s="77"/>
      <c r="H8" s="78"/>
    </row>
    <row r="9" spans="1:8" s="23" customFormat="1" ht="15.75" customHeight="1" x14ac:dyDescent="0.2">
      <c r="A9" s="93">
        <f>2226000+77880</f>
        <v>2303880</v>
      </c>
      <c r="B9" s="94"/>
      <c r="C9" s="94"/>
      <c r="D9" s="94"/>
      <c r="E9" s="94"/>
      <c r="F9" s="94"/>
      <c r="G9" s="94"/>
      <c r="H9" s="94"/>
    </row>
    <row r="10" spans="1:8" s="23" customFormat="1" ht="71.25" customHeight="1" x14ac:dyDescent="0.2">
      <c r="A10" s="13" t="s">
        <v>7</v>
      </c>
      <c r="B10" s="13" t="s">
        <v>8</v>
      </c>
      <c r="C10" s="13" t="s">
        <v>9</v>
      </c>
      <c r="D10" s="9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</row>
    <row r="11" spans="1:8" s="23" customFormat="1" ht="15" customHeight="1" x14ac:dyDescent="0.2">
      <c r="A11" s="13">
        <v>1</v>
      </c>
      <c r="B11" s="13">
        <v>2</v>
      </c>
      <c r="C11" s="13">
        <v>3</v>
      </c>
      <c r="D11" s="10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ht="27" customHeight="1" x14ac:dyDescent="0.2">
      <c r="A12" s="13">
        <v>1</v>
      </c>
      <c r="B12" s="13">
        <v>18400000</v>
      </c>
      <c r="C12" s="13" t="s">
        <v>31</v>
      </c>
      <c r="D12" s="10">
        <v>2600</v>
      </c>
      <c r="E12" s="13" t="s">
        <v>23</v>
      </c>
      <c r="F12" s="11" t="s">
        <v>150</v>
      </c>
      <c r="G12" s="11" t="s">
        <v>151</v>
      </c>
      <c r="H12" s="12"/>
    </row>
    <row r="13" spans="1:8" ht="25.5" customHeight="1" x14ac:dyDescent="0.2">
      <c r="A13" s="13">
        <v>2</v>
      </c>
      <c r="B13" s="13">
        <v>18800000</v>
      </c>
      <c r="C13" s="13" t="s">
        <v>112</v>
      </c>
      <c r="D13" s="10">
        <v>5950</v>
      </c>
      <c r="E13" s="13" t="s">
        <v>23</v>
      </c>
      <c r="F13" s="11" t="s">
        <v>150</v>
      </c>
      <c r="G13" s="11" t="s">
        <v>151</v>
      </c>
      <c r="H13" s="12"/>
    </row>
    <row r="14" spans="1:8" ht="33" customHeight="1" x14ac:dyDescent="0.2">
      <c r="A14" s="13">
        <v>3</v>
      </c>
      <c r="B14" s="13">
        <v>22100000</v>
      </c>
      <c r="C14" s="13" t="s">
        <v>116</v>
      </c>
      <c r="D14" s="10">
        <v>20600</v>
      </c>
      <c r="E14" s="13" t="s">
        <v>32</v>
      </c>
      <c r="F14" s="11" t="s">
        <v>150</v>
      </c>
      <c r="G14" s="11" t="s">
        <v>151</v>
      </c>
      <c r="H14" s="12"/>
    </row>
    <row r="15" spans="1:8" ht="26.25" customHeight="1" x14ac:dyDescent="0.2">
      <c r="A15" s="13">
        <v>4</v>
      </c>
      <c r="B15" s="13">
        <v>30200000</v>
      </c>
      <c r="C15" s="13" t="s">
        <v>38</v>
      </c>
      <c r="D15" s="50">
        <f>70000-9000</f>
        <v>61000</v>
      </c>
      <c r="E15" s="13" t="s">
        <v>32</v>
      </c>
      <c r="F15" s="11" t="s">
        <v>18</v>
      </c>
      <c r="G15" s="11" t="s">
        <v>19</v>
      </c>
      <c r="H15" s="12"/>
    </row>
    <row r="16" spans="1:8" ht="31.5" customHeight="1" x14ac:dyDescent="0.2">
      <c r="A16" s="13">
        <v>5</v>
      </c>
      <c r="B16" s="13">
        <v>31100000</v>
      </c>
      <c r="C16" s="13" t="s">
        <v>39</v>
      </c>
      <c r="D16" s="10">
        <v>2000</v>
      </c>
      <c r="E16" s="13" t="s">
        <v>23</v>
      </c>
      <c r="F16" s="11" t="s">
        <v>150</v>
      </c>
      <c r="G16" s="11" t="s">
        <v>151</v>
      </c>
      <c r="H16" s="12"/>
    </row>
    <row r="17" spans="1:8" ht="33.75" customHeight="1" x14ac:dyDescent="0.2">
      <c r="A17" s="13">
        <v>6</v>
      </c>
      <c r="B17" s="13">
        <v>33100000</v>
      </c>
      <c r="C17" s="13" t="s">
        <v>46</v>
      </c>
      <c r="D17" s="51">
        <f>8051-698.95</f>
        <v>7352.05</v>
      </c>
      <c r="E17" s="13" t="s">
        <v>23</v>
      </c>
      <c r="F17" s="11" t="s">
        <v>150</v>
      </c>
      <c r="G17" s="11" t="s">
        <v>151</v>
      </c>
      <c r="H17" s="52"/>
    </row>
    <row r="18" spans="1:8" ht="33" customHeight="1" x14ac:dyDescent="0.2">
      <c r="A18" s="13">
        <v>7</v>
      </c>
      <c r="B18" s="13">
        <v>35100000</v>
      </c>
      <c r="C18" s="13" t="s">
        <v>50</v>
      </c>
      <c r="D18" s="10">
        <v>9999</v>
      </c>
      <c r="E18" s="13" t="s">
        <v>23</v>
      </c>
      <c r="F18" s="11" t="s">
        <v>150</v>
      </c>
      <c r="G18" s="11" t="s">
        <v>151</v>
      </c>
      <c r="H18" s="13"/>
    </row>
    <row r="19" spans="1:8" ht="35.25" customHeight="1" x14ac:dyDescent="0.2">
      <c r="A19" s="13">
        <v>8</v>
      </c>
      <c r="B19" s="13">
        <v>42100000</v>
      </c>
      <c r="C19" s="13" t="s">
        <v>128</v>
      </c>
      <c r="D19" s="16">
        <v>9000</v>
      </c>
      <c r="E19" s="13" t="s">
        <v>23</v>
      </c>
      <c r="F19" s="11" t="s">
        <v>150</v>
      </c>
      <c r="G19" s="11" t="s">
        <v>151</v>
      </c>
      <c r="H19" s="12"/>
    </row>
    <row r="20" spans="1:8" ht="35.25" customHeight="1" x14ac:dyDescent="0.2">
      <c r="A20" s="13">
        <v>9</v>
      </c>
      <c r="B20" s="13">
        <v>42400000</v>
      </c>
      <c r="C20" s="13" t="s">
        <v>54</v>
      </c>
      <c r="D20" s="10">
        <v>2000</v>
      </c>
      <c r="E20" s="13" t="s">
        <v>23</v>
      </c>
      <c r="F20" s="11" t="s">
        <v>150</v>
      </c>
      <c r="G20" s="11" t="s">
        <v>151</v>
      </c>
      <c r="H20" s="12"/>
    </row>
    <row r="21" spans="1:8" ht="34.5" customHeight="1" x14ac:dyDescent="0.2">
      <c r="A21" s="13">
        <v>10</v>
      </c>
      <c r="B21" s="13">
        <v>42600000</v>
      </c>
      <c r="C21" s="13" t="s">
        <v>56</v>
      </c>
      <c r="D21" s="10">
        <v>7000</v>
      </c>
      <c r="E21" s="13" t="s">
        <v>23</v>
      </c>
      <c r="F21" s="11" t="s">
        <v>150</v>
      </c>
      <c r="G21" s="11" t="s">
        <v>151</v>
      </c>
      <c r="H21" s="12"/>
    </row>
    <row r="22" spans="1:8" ht="29.25" customHeight="1" x14ac:dyDescent="0.2">
      <c r="A22" s="13">
        <v>11</v>
      </c>
      <c r="B22" s="13">
        <v>43800000</v>
      </c>
      <c r="C22" s="13" t="s">
        <v>129</v>
      </c>
      <c r="D22" s="16">
        <v>595000</v>
      </c>
      <c r="E22" s="13" t="s">
        <v>32</v>
      </c>
      <c r="F22" s="11" t="s">
        <v>18</v>
      </c>
      <c r="G22" s="11" t="s">
        <v>19</v>
      </c>
      <c r="H22" s="12"/>
    </row>
    <row r="23" spans="1:8" ht="31.5" customHeight="1" x14ac:dyDescent="0.2">
      <c r="A23" s="13">
        <v>12</v>
      </c>
      <c r="B23" s="17">
        <v>44400000</v>
      </c>
      <c r="C23" s="17" t="s">
        <v>61</v>
      </c>
      <c r="D23" s="10">
        <v>600</v>
      </c>
      <c r="E23" s="13" t="s">
        <v>23</v>
      </c>
      <c r="F23" s="11" t="s">
        <v>97</v>
      </c>
      <c r="G23" s="11" t="s">
        <v>97</v>
      </c>
      <c r="H23" s="12"/>
    </row>
    <row r="24" spans="1:8" ht="35.25" customHeight="1" x14ac:dyDescent="0.2">
      <c r="A24" s="13">
        <v>13</v>
      </c>
      <c r="B24" s="13">
        <v>44500000</v>
      </c>
      <c r="C24" s="13" t="s">
        <v>62</v>
      </c>
      <c r="D24" s="10">
        <v>9990</v>
      </c>
      <c r="E24" s="13" t="s">
        <v>23</v>
      </c>
      <c r="F24" s="11" t="s">
        <v>150</v>
      </c>
      <c r="G24" s="11" t="s">
        <v>151</v>
      </c>
      <c r="H24" s="12"/>
    </row>
    <row r="25" spans="1:8" ht="39.75" customHeight="1" x14ac:dyDescent="0.2">
      <c r="A25" s="13">
        <v>14</v>
      </c>
      <c r="B25" s="13">
        <v>45200000</v>
      </c>
      <c r="C25" s="13" t="s">
        <v>64</v>
      </c>
      <c r="D25" s="16">
        <v>77880</v>
      </c>
      <c r="E25" s="13" t="s">
        <v>32</v>
      </c>
      <c r="F25" s="11" t="s">
        <v>150</v>
      </c>
      <c r="G25" s="11" t="s">
        <v>151</v>
      </c>
      <c r="H25" s="12"/>
    </row>
    <row r="26" spans="1:8" s="23" customFormat="1" ht="22.5" customHeight="1" x14ac:dyDescent="0.2">
      <c r="A26" s="13">
        <v>15</v>
      </c>
      <c r="B26" s="95">
        <v>55100000</v>
      </c>
      <c r="C26" s="95" t="s">
        <v>152</v>
      </c>
      <c r="D26" s="10">
        <f>20000-10100</f>
        <v>9900</v>
      </c>
      <c r="E26" s="13" t="s">
        <v>23</v>
      </c>
      <c r="F26" s="11" t="s">
        <v>18</v>
      </c>
      <c r="G26" s="11" t="s">
        <v>19</v>
      </c>
      <c r="H26" s="12"/>
    </row>
    <row r="27" spans="1:8" s="23" customFormat="1" ht="25.5" customHeight="1" x14ac:dyDescent="0.2">
      <c r="A27" s="13">
        <v>16</v>
      </c>
      <c r="B27" s="96"/>
      <c r="C27" s="96"/>
      <c r="D27" s="10">
        <v>50000</v>
      </c>
      <c r="E27" s="13" t="s">
        <v>23</v>
      </c>
      <c r="F27" s="11" t="s">
        <v>18</v>
      </c>
      <c r="G27" s="11" t="s">
        <v>19</v>
      </c>
      <c r="H27" s="12" t="s">
        <v>28</v>
      </c>
    </row>
    <row r="28" spans="1:8" s="23" customFormat="1" ht="28.5" customHeight="1" x14ac:dyDescent="0.2">
      <c r="A28" s="13">
        <v>17</v>
      </c>
      <c r="B28" s="95">
        <v>55300000</v>
      </c>
      <c r="C28" s="95" t="s">
        <v>76</v>
      </c>
      <c r="D28" s="10">
        <v>10000</v>
      </c>
      <c r="E28" s="13" t="s">
        <v>23</v>
      </c>
      <c r="F28" s="11" t="s">
        <v>18</v>
      </c>
      <c r="G28" s="11" t="s">
        <v>19</v>
      </c>
      <c r="H28" s="12" t="s">
        <v>28</v>
      </c>
    </row>
    <row r="29" spans="1:8" s="23" customFormat="1" ht="28.5" customHeight="1" x14ac:dyDescent="0.2">
      <c r="A29" s="13">
        <v>18</v>
      </c>
      <c r="B29" s="96"/>
      <c r="C29" s="96"/>
      <c r="D29" s="10">
        <v>16000</v>
      </c>
      <c r="E29" s="13" t="s">
        <v>32</v>
      </c>
      <c r="F29" s="11" t="s">
        <v>150</v>
      </c>
      <c r="G29" s="11" t="s">
        <v>151</v>
      </c>
      <c r="H29" s="12"/>
    </row>
    <row r="30" spans="1:8" s="23" customFormat="1" ht="28.5" customHeight="1" x14ac:dyDescent="0.2">
      <c r="A30" s="13">
        <v>19</v>
      </c>
      <c r="B30" s="13">
        <v>60100000</v>
      </c>
      <c r="C30" s="13" t="s">
        <v>77</v>
      </c>
      <c r="D30" s="10">
        <v>9000</v>
      </c>
      <c r="E30" s="13" t="s">
        <v>23</v>
      </c>
      <c r="F30" s="11" t="s">
        <v>18</v>
      </c>
      <c r="G30" s="11" t="s">
        <v>19</v>
      </c>
      <c r="H30" s="12"/>
    </row>
    <row r="31" spans="1:8" s="23" customFormat="1" ht="28.5" customHeight="1" x14ac:dyDescent="0.2">
      <c r="A31" s="13">
        <v>20</v>
      </c>
      <c r="B31" s="13">
        <v>66100000</v>
      </c>
      <c r="C31" s="13" t="s">
        <v>153</v>
      </c>
      <c r="D31" s="10">
        <v>2000</v>
      </c>
      <c r="E31" s="13" t="s">
        <v>23</v>
      </c>
      <c r="F31" s="11" t="s">
        <v>18</v>
      </c>
      <c r="G31" s="11" t="s">
        <v>19</v>
      </c>
      <c r="H31" s="12"/>
    </row>
    <row r="32" spans="1:8" ht="30.75" customHeight="1" x14ac:dyDescent="0.2">
      <c r="A32" s="13">
        <v>21</v>
      </c>
      <c r="B32" s="13">
        <v>73100000</v>
      </c>
      <c r="C32" s="13" t="s">
        <v>154</v>
      </c>
      <c r="D32" s="10">
        <f>120000-8800</f>
        <v>111200</v>
      </c>
      <c r="E32" s="13" t="s">
        <v>32</v>
      </c>
      <c r="F32" s="11" t="s">
        <v>18</v>
      </c>
      <c r="G32" s="11" t="s">
        <v>19</v>
      </c>
      <c r="H32" s="12"/>
    </row>
    <row r="33" spans="1:8" ht="27" customHeight="1" x14ac:dyDescent="0.2">
      <c r="A33" s="13">
        <v>22</v>
      </c>
      <c r="B33" s="13">
        <v>77200000</v>
      </c>
      <c r="C33" s="13" t="s">
        <v>91</v>
      </c>
      <c r="D33" s="10">
        <f>1039050+20570</f>
        <v>1059620</v>
      </c>
      <c r="E33" s="13" t="s">
        <v>32</v>
      </c>
      <c r="F33" s="11" t="s">
        <v>18</v>
      </c>
      <c r="G33" s="11" t="s">
        <v>19</v>
      </c>
      <c r="H33" s="12" t="s">
        <v>155</v>
      </c>
    </row>
    <row r="34" spans="1:8" ht="26.25" customHeight="1" x14ac:dyDescent="0.2">
      <c r="A34" s="13">
        <v>23</v>
      </c>
      <c r="B34" s="13">
        <v>79200000</v>
      </c>
      <c r="C34" s="13" t="s">
        <v>156</v>
      </c>
      <c r="D34" s="10">
        <v>30000</v>
      </c>
      <c r="E34" s="13" t="s">
        <v>32</v>
      </c>
      <c r="F34" s="11" t="s">
        <v>18</v>
      </c>
      <c r="G34" s="11" t="s">
        <v>19</v>
      </c>
      <c r="H34" s="12"/>
    </row>
    <row r="35" spans="1:8" ht="30.75" customHeight="1" x14ac:dyDescent="0.2">
      <c r="A35" s="13">
        <v>24</v>
      </c>
      <c r="B35" s="13">
        <v>79400000</v>
      </c>
      <c r="C35" s="13" t="s">
        <v>137</v>
      </c>
      <c r="D35" s="10">
        <f>169350-84160</f>
        <v>85190</v>
      </c>
      <c r="E35" s="13" t="s">
        <v>32</v>
      </c>
      <c r="F35" s="11" t="s">
        <v>18</v>
      </c>
      <c r="G35" s="11" t="s">
        <v>19</v>
      </c>
      <c r="H35" s="12"/>
    </row>
    <row r="36" spans="1:8" ht="31.5" customHeight="1" x14ac:dyDescent="0.2">
      <c r="A36" s="13">
        <v>25</v>
      </c>
      <c r="B36" s="13">
        <v>79500000</v>
      </c>
      <c r="C36" s="13" t="s">
        <v>138</v>
      </c>
      <c r="D36" s="51">
        <f>9900+98.95</f>
        <v>9998.9500000000007</v>
      </c>
      <c r="E36" s="13" t="s">
        <v>23</v>
      </c>
      <c r="F36" s="11" t="s">
        <v>18</v>
      </c>
      <c r="G36" s="11" t="s">
        <v>19</v>
      </c>
      <c r="H36" s="12"/>
    </row>
    <row r="37" spans="1:8" ht="27.75" customHeight="1" x14ac:dyDescent="0.2">
      <c r="A37" s="13">
        <v>26</v>
      </c>
      <c r="B37" s="13">
        <v>80500000</v>
      </c>
      <c r="C37" s="13" t="s">
        <v>94</v>
      </c>
      <c r="D37" s="10">
        <v>100000</v>
      </c>
      <c r="E37" s="13" t="s">
        <v>32</v>
      </c>
      <c r="F37" s="11" t="s">
        <v>18</v>
      </c>
      <c r="G37" s="11" t="s">
        <v>19</v>
      </c>
      <c r="H37" s="12"/>
    </row>
    <row r="38" spans="1:8" s="56" customFormat="1" ht="16.5" customHeight="1" x14ac:dyDescent="0.2">
      <c r="A38" s="39"/>
      <c r="B38" s="53"/>
      <c r="C38" s="19"/>
      <c r="D38" s="54"/>
      <c r="E38" s="8"/>
      <c r="F38" s="23"/>
      <c r="G38" s="23"/>
      <c r="H38" s="55"/>
    </row>
    <row r="39" spans="1:8" ht="12" customHeight="1" x14ac:dyDescent="0.2">
      <c r="B39" s="29"/>
      <c r="C39" s="18"/>
      <c r="D39" s="54"/>
      <c r="E39" s="57"/>
      <c r="F39" s="23"/>
      <c r="G39" s="23"/>
      <c r="H39" s="47"/>
    </row>
    <row r="40" spans="1:8" ht="38.25" customHeight="1" x14ac:dyDescent="0.2">
      <c r="B40" s="97" t="s">
        <v>145</v>
      </c>
      <c r="C40" s="97"/>
    </row>
    <row r="41" spans="1:8" ht="13.5" customHeight="1" x14ac:dyDescent="0.2">
      <c r="B41" s="4"/>
      <c r="D41" s="22"/>
      <c r="E41" s="98" t="s">
        <v>102</v>
      </c>
      <c r="F41" s="98"/>
    </row>
    <row r="42" spans="1:8" ht="37.5" customHeight="1" x14ac:dyDescent="0.2">
      <c r="B42" s="4"/>
    </row>
    <row r="43" spans="1:8" x14ac:dyDescent="0.2">
      <c r="B43" s="4"/>
    </row>
    <row r="44" spans="1:8" ht="21.75" customHeight="1" x14ac:dyDescent="0.2">
      <c r="B44" s="99"/>
      <c r="C44" s="99"/>
      <c r="D44" s="99"/>
    </row>
    <row r="45" spans="1:8" ht="13.5" customHeight="1" x14ac:dyDescent="0.2">
      <c r="B45" s="97" t="s">
        <v>103</v>
      </c>
      <c r="C45" s="97"/>
      <c r="D45" s="97"/>
    </row>
    <row r="46" spans="1:8" x14ac:dyDescent="0.2">
      <c r="B46" s="4"/>
      <c r="E46" s="98" t="s">
        <v>102</v>
      </c>
      <c r="F46" s="98"/>
    </row>
    <row r="51" spans="3:10" x14ac:dyDescent="0.2">
      <c r="I51" s="47"/>
      <c r="J51" s="47"/>
    </row>
    <row r="52" spans="3:10" x14ac:dyDescent="0.2">
      <c r="C52" s="28"/>
      <c r="I52" s="47"/>
      <c r="J52" s="47"/>
    </row>
    <row r="53" spans="3:10" x14ac:dyDescent="0.2">
      <c r="C53" s="48"/>
      <c r="E53" s="19"/>
      <c r="I53" s="47"/>
      <c r="J53" s="47"/>
    </row>
    <row r="54" spans="3:10" ht="19.5" customHeight="1" x14ac:dyDescent="0.2">
      <c r="C54" s="49"/>
      <c r="I54" s="47"/>
      <c r="J54" s="47"/>
    </row>
    <row r="55" spans="3:10" x14ac:dyDescent="0.2">
      <c r="I55" s="47"/>
      <c r="J55" s="47"/>
    </row>
    <row r="56" spans="3:10" ht="24.75" customHeight="1" x14ac:dyDescent="0.2">
      <c r="C56" s="18"/>
      <c r="I56" s="47"/>
      <c r="J56" s="47"/>
    </row>
    <row r="57" spans="3:10" ht="22.5" customHeight="1" x14ac:dyDescent="0.2">
      <c r="I57" s="47"/>
      <c r="J57" s="47"/>
    </row>
    <row r="58" spans="3:10" x14ac:dyDescent="0.2">
      <c r="C58" s="24"/>
      <c r="I58" s="47"/>
      <c r="J58" s="47"/>
    </row>
  </sheetData>
  <sheetProtection algorithmName="SHA-512" hashValue="HnFHdrXGnjYbmGbx1au+iMhtet1F/NQ8vP2v8wzkve/MBp/9VVlG2SqtNLMJYyDZWjkk+XLIv0PM25JTYKxw8g==" saltValue="spH3btrTijy07dudPWwS4A==" spinCount="100000" sheet="1" objects="1" scenarios="1"/>
  <mergeCells count="18">
    <mergeCell ref="B40:C40"/>
    <mergeCell ref="E41:F41"/>
    <mergeCell ref="B44:D44"/>
    <mergeCell ref="B45:D45"/>
    <mergeCell ref="E46:F46"/>
    <mergeCell ref="A8:H8"/>
    <mergeCell ref="A9:H9"/>
    <mergeCell ref="B26:B27"/>
    <mergeCell ref="C26:C27"/>
    <mergeCell ref="B28:B29"/>
    <mergeCell ref="C28:C2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35"/>
  <sheetViews>
    <sheetView workbookViewId="0">
      <selection activeCell="N10" sqref="N10"/>
    </sheetView>
  </sheetViews>
  <sheetFormatPr defaultRowHeight="13.5" x14ac:dyDescent="0.2"/>
  <cols>
    <col min="1" max="1" width="3.85546875" style="39" customWidth="1"/>
    <col min="2" max="2" width="10" style="23" customWidth="1"/>
    <col min="3" max="3" width="53.7109375" style="4" customWidth="1"/>
    <col min="4" max="4" width="11.5703125" style="40" customWidth="1"/>
    <col min="5" max="5" width="10.42578125" style="4" customWidth="1"/>
    <col min="6" max="6" width="11.85546875" style="4" customWidth="1"/>
    <col min="7" max="7" width="12.42578125" style="4" customWidth="1"/>
    <col min="8" max="8" width="32" style="4" customWidth="1"/>
    <col min="9" max="12" width="8.28515625" style="23" customWidth="1"/>
    <col min="13" max="16384" width="9.140625" style="4"/>
  </cols>
  <sheetData>
    <row r="2" spans="1:12" x14ac:dyDescent="0.2">
      <c r="B2" s="4"/>
      <c r="H2" s="6" t="s">
        <v>141</v>
      </c>
    </row>
    <row r="3" spans="1:12" x14ac:dyDescent="0.2">
      <c r="B3" s="4"/>
      <c r="C3" s="75" t="s">
        <v>142</v>
      </c>
      <c r="D3" s="75"/>
      <c r="E3" s="75"/>
      <c r="F3" s="75"/>
      <c r="G3" s="75"/>
    </row>
    <row r="4" spans="1:12" x14ac:dyDescent="0.2">
      <c r="A4" s="76" t="s">
        <v>143</v>
      </c>
      <c r="B4" s="77"/>
      <c r="C4" s="77"/>
      <c r="D4" s="77"/>
      <c r="E4" s="78"/>
      <c r="F4" s="82" t="s">
        <v>2</v>
      </c>
      <c r="G4" s="83"/>
      <c r="H4" s="84"/>
    </row>
    <row r="5" spans="1:12" x14ac:dyDescent="0.2">
      <c r="A5" s="79"/>
      <c r="B5" s="80"/>
      <c r="C5" s="80"/>
      <c r="D5" s="80"/>
      <c r="E5" s="81"/>
      <c r="F5" s="85">
        <v>204578581</v>
      </c>
      <c r="G5" s="86"/>
      <c r="H5" s="87"/>
    </row>
    <row r="6" spans="1:12" x14ac:dyDescent="0.2">
      <c r="A6" s="76" t="s">
        <v>3</v>
      </c>
      <c r="B6" s="77"/>
      <c r="C6" s="77"/>
      <c r="D6" s="77"/>
      <c r="E6" s="78"/>
      <c r="F6" s="76" t="s">
        <v>144</v>
      </c>
      <c r="G6" s="88"/>
      <c r="H6" s="89"/>
      <c r="I6" s="25"/>
      <c r="J6" s="25"/>
      <c r="K6" s="25"/>
      <c r="L6" s="25"/>
    </row>
    <row r="7" spans="1:12" ht="41.25" customHeight="1" x14ac:dyDescent="0.2">
      <c r="A7" s="85" t="s">
        <v>5</v>
      </c>
      <c r="B7" s="86"/>
      <c r="C7" s="86"/>
      <c r="D7" s="86"/>
      <c r="E7" s="87"/>
      <c r="F7" s="90"/>
      <c r="G7" s="91"/>
      <c r="H7" s="92"/>
    </row>
    <row r="8" spans="1:12" x14ac:dyDescent="0.2">
      <c r="A8" s="76" t="s">
        <v>6</v>
      </c>
      <c r="B8" s="77"/>
      <c r="C8" s="77"/>
      <c r="D8" s="77"/>
      <c r="E8" s="77"/>
      <c r="F8" s="77"/>
      <c r="G8" s="77"/>
      <c r="H8" s="78"/>
    </row>
    <row r="9" spans="1:12" s="23" customFormat="1" x14ac:dyDescent="0.2">
      <c r="A9" s="93">
        <f>SUM(D12:D15)</f>
        <v>51550</v>
      </c>
      <c r="B9" s="94"/>
      <c r="C9" s="94"/>
      <c r="D9" s="94"/>
      <c r="E9" s="94"/>
      <c r="F9" s="94"/>
      <c r="G9" s="94"/>
      <c r="H9" s="94"/>
    </row>
    <row r="10" spans="1:12" s="23" customFormat="1" ht="63.75" x14ac:dyDescent="0.2">
      <c r="A10" s="13" t="s">
        <v>7</v>
      </c>
      <c r="B10" s="13" t="s">
        <v>8</v>
      </c>
      <c r="C10" s="13" t="s">
        <v>9</v>
      </c>
      <c r="D10" s="41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</row>
    <row r="11" spans="1:12" s="23" customFormat="1" ht="12.75" x14ac:dyDescent="0.2">
      <c r="A11" s="13">
        <v>1</v>
      </c>
      <c r="B11" s="13">
        <v>2</v>
      </c>
      <c r="C11" s="13">
        <v>3</v>
      </c>
      <c r="D11" s="10">
        <v>4</v>
      </c>
      <c r="E11" s="13">
        <v>5</v>
      </c>
      <c r="F11" s="13">
        <v>6</v>
      </c>
      <c r="G11" s="13">
        <v>7</v>
      </c>
      <c r="H11" s="13">
        <v>8</v>
      </c>
    </row>
    <row r="12" spans="1:12" s="5" customFormat="1" x14ac:dyDescent="0.2">
      <c r="A12" s="13">
        <v>1</v>
      </c>
      <c r="B12" s="11" t="s">
        <v>15</v>
      </c>
      <c r="C12" s="13" t="s">
        <v>16</v>
      </c>
      <c r="D12" s="10">
        <f>15000+1960</f>
        <v>16960</v>
      </c>
      <c r="E12" s="13" t="s">
        <v>17</v>
      </c>
      <c r="F12" s="11" t="s">
        <v>18</v>
      </c>
      <c r="G12" s="11" t="s">
        <v>19</v>
      </c>
      <c r="H12" s="12" t="s">
        <v>20</v>
      </c>
      <c r="I12" s="42"/>
      <c r="J12" s="23"/>
      <c r="K12" s="23"/>
      <c r="L12" s="23"/>
    </row>
    <row r="13" spans="1:12" x14ac:dyDescent="0.2">
      <c r="A13" s="13">
        <v>2</v>
      </c>
      <c r="B13" s="13" t="s">
        <v>21</v>
      </c>
      <c r="C13" s="13" t="s">
        <v>22</v>
      </c>
      <c r="D13" s="10">
        <v>1000</v>
      </c>
      <c r="E13" s="13" t="s">
        <v>23</v>
      </c>
      <c r="F13" s="11" t="s">
        <v>18</v>
      </c>
      <c r="G13" s="11" t="s">
        <v>19</v>
      </c>
      <c r="H13" s="12"/>
      <c r="I13" s="43"/>
    </row>
    <row r="14" spans="1:12" x14ac:dyDescent="0.2">
      <c r="A14" s="13">
        <v>3</v>
      </c>
      <c r="B14" s="13">
        <v>42600000</v>
      </c>
      <c r="C14" s="13" t="s">
        <v>56</v>
      </c>
      <c r="D14" s="10">
        <f>3000-1960</f>
        <v>1040</v>
      </c>
      <c r="E14" s="13" t="s">
        <v>23</v>
      </c>
      <c r="F14" s="11" t="s">
        <v>18</v>
      </c>
      <c r="G14" s="11" t="s">
        <v>19</v>
      </c>
      <c r="H14" s="12"/>
      <c r="I14" s="42"/>
    </row>
    <row r="15" spans="1:12" ht="25.5" x14ac:dyDescent="0.2">
      <c r="A15" s="13">
        <v>4</v>
      </c>
      <c r="B15" s="13">
        <v>45200000</v>
      </c>
      <c r="C15" s="13" t="s">
        <v>64</v>
      </c>
      <c r="D15" s="16">
        <f>24850+7700</f>
        <v>32550</v>
      </c>
      <c r="E15" s="13" t="s">
        <v>32</v>
      </c>
      <c r="F15" s="11" t="s">
        <v>18</v>
      </c>
      <c r="G15" s="11" t="s">
        <v>19</v>
      </c>
      <c r="H15" s="12"/>
      <c r="I15" s="44"/>
    </row>
    <row r="16" spans="1:12" x14ac:dyDescent="0.2">
      <c r="D16" s="45"/>
    </row>
    <row r="17" spans="2:15" x14ac:dyDescent="0.2">
      <c r="B17" s="97" t="s">
        <v>145</v>
      </c>
      <c r="C17" s="97"/>
    </row>
    <row r="18" spans="2:15" x14ac:dyDescent="0.2">
      <c r="B18" s="4"/>
      <c r="D18" s="46"/>
      <c r="E18" s="98" t="s">
        <v>102</v>
      </c>
      <c r="F18" s="98"/>
    </row>
    <row r="19" spans="2:15" x14ac:dyDescent="0.2">
      <c r="B19" s="4"/>
    </row>
    <row r="20" spans="2:15" x14ac:dyDescent="0.2">
      <c r="B20" s="4"/>
    </row>
    <row r="21" spans="2:15" x14ac:dyDescent="0.2">
      <c r="B21" s="99"/>
      <c r="C21" s="99"/>
      <c r="D21" s="99"/>
    </row>
    <row r="22" spans="2:15" x14ac:dyDescent="0.2">
      <c r="B22" s="97" t="s">
        <v>103</v>
      </c>
      <c r="C22" s="97"/>
      <c r="D22" s="97"/>
    </row>
    <row r="23" spans="2:15" x14ac:dyDescent="0.2">
      <c r="B23" s="4"/>
      <c r="E23" s="98" t="s">
        <v>102</v>
      </c>
      <c r="F23" s="98"/>
    </row>
    <row r="28" spans="2:15" x14ac:dyDescent="0.2">
      <c r="N28" s="47"/>
      <c r="O28" s="47"/>
    </row>
    <row r="29" spans="2:15" x14ac:dyDescent="0.2">
      <c r="C29" s="28"/>
      <c r="N29" s="47"/>
      <c r="O29" s="47"/>
    </row>
    <row r="30" spans="2:15" x14ac:dyDescent="0.2">
      <c r="C30" s="48"/>
      <c r="E30" s="19"/>
      <c r="N30" s="47"/>
      <c r="O30" s="47"/>
    </row>
    <row r="31" spans="2:15" x14ac:dyDescent="0.2">
      <c r="C31" s="49"/>
      <c r="N31" s="47"/>
      <c r="O31" s="47"/>
    </row>
    <row r="32" spans="2:15" x14ac:dyDescent="0.2">
      <c r="N32" s="47"/>
      <c r="O32" s="47"/>
    </row>
    <row r="33" spans="3:15" x14ac:dyDescent="0.2">
      <c r="C33" s="18"/>
      <c r="N33" s="47"/>
      <c r="O33" s="47"/>
    </row>
    <row r="34" spans="3:15" x14ac:dyDescent="0.2">
      <c r="N34" s="47"/>
      <c r="O34" s="47"/>
    </row>
    <row r="35" spans="3:15" x14ac:dyDescent="0.2">
      <c r="C35" s="24"/>
      <c r="N35" s="47"/>
      <c r="O35" s="47"/>
    </row>
  </sheetData>
  <sheetProtection algorithmName="SHA-512" hashValue="L/ojRX8kr9tKIGQiNsenKdTOA5nOufI0H5o/Zgbv4ku/fCVQMJ1sKstYKGINxXqR6peY5nmt7R/554YgPGU7tg==" saltValue="bdHURlAAijJ0OY3pkdtAcA==" spinCount="100000" sheet="1" objects="1" scenarios="1"/>
  <mergeCells count="14">
    <mergeCell ref="E23:F23"/>
    <mergeCell ref="A8:H8"/>
    <mergeCell ref="A9:H9"/>
    <mergeCell ref="B17:C17"/>
    <mergeCell ref="E18:F18"/>
    <mergeCell ref="B21:D21"/>
    <mergeCell ref="B22:D2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გეგმა ბიუჯეტი</vt:lpstr>
      <vt:lpstr>გეგმა საკუთარი</vt:lpstr>
      <vt:lpstr>გრანტი  (GIZ) (GCF)      </vt:lpstr>
      <vt:lpstr>გრანტი (BTC Co)</vt:lpstr>
      <vt:lpstr>'გეგმა ბიუჯეტი'!Print_Area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Khatia Gogoladze</cp:lastModifiedBy>
  <cp:lastPrinted>2024-07-03T14:48:19Z</cp:lastPrinted>
  <dcterms:created xsi:type="dcterms:W3CDTF">2001-03-27T09:30:29Z</dcterms:created>
  <dcterms:modified xsi:type="dcterms:W3CDTF">2026-01-23T06:29:41Z</dcterms:modified>
</cp:coreProperties>
</file>