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estry\Desktop\პროაქტიული\ასატვირთი\"/>
    </mc:Choice>
  </mc:AlternateContent>
  <bookViews>
    <workbookView xWindow="0" yWindow="0" windowWidth="20490" windowHeight="7320" tabRatio="575" activeTab="3"/>
  </bookViews>
  <sheets>
    <sheet name="გეგმა ბიუჯეტი" sheetId="145" r:id="rId1"/>
    <sheet name="გეგმა საკუთარი" sheetId="146" r:id="rId2"/>
    <sheet name="გრანტი  (GIZ) (GCF)      " sheetId="148" r:id="rId3"/>
    <sheet name="გრანტი (BTC Co)" sheetId="147" r:id="rId4"/>
  </sheets>
  <definedNames>
    <definedName name="_xlnm.Print_Area" localSheetId="0">'გეგმა ბიუჯეტი'!$A$1:$H$114</definedName>
  </definedNames>
  <calcPr calcId="162913"/>
</workbook>
</file>

<file path=xl/calcChain.xml><?xml version="1.0" encoding="utf-8"?>
<calcChain xmlns="http://schemas.openxmlformats.org/spreadsheetml/2006/main">
  <c r="A9" i="147" l="1"/>
  <c r="A9" i="148"/>
  <c r="A9" i="145"/>
  <c r="D119" i="146" l="1"/>
  <c r="D117" i="146"/>
  <c r="D116" i="146"/>
  <c r="D112" i="146"/>
  <c r="D108" i="146"/>
  <c r="D107" i="146"/>
  <c r="D106" i="146"/>
  <c r="K10" i="146" s="1"/>
  <c r="J105" i="146"/>
  <c r="J101" i="146"/>
  <c r="D96" i="146"/>
  <c r="D95" i="146"/>
  <c r="J92" i="146"/>
  <c r="D92" i="146"/>
  <c r="D85" i="146"/>
  <c r="D84" i="146"/>
  <c r="J83" i="146"/>
  <c r="D83" i="146"/>
  <c r="D82" i="146"/>
  <c r="D80" i="146"/>
  <c r="D77" i="146"/>
  <c r="D75" i="146"/>
  <c r="D74" i="146"/>
  <c r="D73" i="146"/>
  <c r="D72" i="146"/>
  <c r="D71" i="146"/>
  <c r="D69" i="146"/>
  <c r="D67" i="146"/>
  <c r="D65" i="146"/>
  <c r="K9" i="146" s="1"/>
  <c r="D62" i="146"/>
  <c r="D61" i="146"/>
  <c r="D60" i="146"/>
  <c r="D57" i="146"/>
  <c r="D56" i="146"/>
  <c r="D55" i="146"/>
  <c r="D54" i="146"/>
  <c r="D52" i="146"/>
  <c r="D50" i="146"/>
  <c r="D49" i="146"/>
  <c r="D41" i="146"/>
  <c r="D40" i="146"/>
  <c r="D37" i="146"/>
  <c r="D33" i="146"/>
  <c r="D24" i="146"/>
  <c r="D23" i="146"/>
  <c r="D22" i="146"/>
  <c r="D21" i="146"/>
  <c r="D19" i="146"/>
  <c r="D13" i="146"/>
  <c r="D12" i="146"/>
  <c r="K8" i="146"/>
  <c r="K7" i="146" l="1"/>
  <c r="L7" i="146" s="1"/>
  <c r="D111" i="145" l="1"/>
  <c r="D109" i="145"/>
  <c r="D107" i="145"/>
  <c r="D106" i="145"/>
  <c r="D103" i="145"/>
  <c r="D101" i="145"/>
  <c r="D100" i="145"/>
  <c r="D98" i="145"/>
  <c r="D95" i="145"/>
  <c r="D92" i="145"/>
  <c r="D91" i="145"/>
  <c r="D90" i="145"/>
  <c r="D88" i="145"/>
  <c r="D84" i="145"/>
  <c r="D82" i="145"/>
  <c r="D80" i="145"/>
  <c r="D79" i="145"/>
  <c r="D78" i="145"/>
  <c r="K77" i="145"/>
  <c r="J77" i="145"/>
  <c r="D77" i="145"/>
  <c r="D75" i="145"/>
  <c r="D73" i="145"/>
  <c r="D72" i="145"/>
  <c r="D71" i="145"/>
  <c r="D70" i="145"/>
  <c r="D69" i="145"/>
  <c r="D68" i="145"/>
  <c r="D67" i="145"/>
  <c r="D66" i="145"/>
  <c r="D65" i="145"/>
  <c r="D61" i="145"/>
  <c r="D60" i="145"/>
  <c r="D58" i="145"/>
  <c r="D57" i="145"/>
  <c r="D53" i="145"/>
  <c r="D52" i="145"/>
  <c r="D51" i="145"/>
  <c r="D47" i="145"/>
  <c r="D44" i="145"/>
  <c r="D43" i="145"/>
  <c r="D36" i="145"/>
  <c r="D35" i="145"/>
  <c r="D33" i="145"/>
  <c r="J9" i="145" s="1"/>
  <c r="J8" i="145" s="1"/>
  <c r="K8" i="145" s="1"/>
  <c r="D31" i="145"/>
  <c r="D28" i="145"/>
  <c r="D27" i="145"/>
  <c r="D26" i="145"/>
  <c r="D25" i="145"/>
  <c r="D24" i="145"/>
  <c r="D22" i="145"/>
  <c r="D20" i="145"/>
  <c r="D19" i="145"/>
  <c r="D18" i="145"/>
  <c r="D17" i="145"/>
  <c r="D16" i="145"/>
  <c r="D14" i="145"/>
  <c r="D12" i="145"/>
  <c r="J11" i="145"/>
  <c r="J10" i="145"/>
  <c r="J4" i="145"/>
  <c r="D36" i="148" l="1"/>
  <c r="D35" i="148"/>
  <c r="D33" i="148"/>
  <c r="D32" i="148"/>
  <c r="D26" i="148"/>
  <c r="D17" i="148"/>
  <c r="D15" i="148"/>
  <c r="D15" i="147"/>
  <c r="D14" i="147"/>
  <c r="D12" i="147"/>
</calcChain>
</file>

<file path=xl/sharedStrings.xml><?xml version="1.0" encoding="utf-8"?>
<sst xmlns="http://schemas.openxmlformats.org/spreadsheetml/2006/main" count="1056" uniqueCount="171">
  <si>
    <t xml:space="preserve">              danarTi #2</t>
  </si>
  <si>
    <t xml:space="preserve">             saxelmwifo Sesyidvebis wliuri gegmis forma</t>
  </si>
  <si>
    <t>2. Semsyidveli organizaciis saidentifikacio kodi</t>
  </si>
  <si>
    <t>3. Semsyidveli organizaciis dasaxeleba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</si>
  <si>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</si>
  <si>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ssip erovnuli satyeo saagento</t>
  </si>
  <si>
    <t>5. saxelmwifo Sesyidvebis gegmiT gaTvaliswinebuli jamuri Tanxa dafinansebis wyaros Sesabamisad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</si>
  <si>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</si>
  <si>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</si>
  <si>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</si>
  <si>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</si>
  <si>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</si>
  <si>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</si>
  <si>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</si>
  <si>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SeniSvna</t>
  </si>
  <si>
    <t>091 00000</t>
  </si>
  <si>
    <t xml:space="preserve">sawvavi  </t>
  </si>
  <si>
    <t>k.t</t>
  </si>
  <si>
    <t>I kv</t>
  </si>
  <si>
    <t>I-IV kv</t>
  </si>
  <si>
    <t>konsolidirebuli tenderi</t>
  </si>
  <si>
    <t>092 00000</t>
  </si>
  <si>
    <t>navTobi, qvanaxSiri da navTobproduqtebi</t>
  </si>
  <si>
    <t>g.S</t>
  </si>
  <si>
    <t>qviSa da Tixa</t>
  </si>
  <si>
    <t>II kv</t>
  </si>
  <si>
    <t>II-IV kv</t>
  </si>
  <si>
    <t>sxvadasxva sakvebi produqtebi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</si>
  <si>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</si>
  <si>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sasmelebi, Tambaqo da monaTesave produqtebi</t>
  </si>
  <si>
    <t>tansacmeli</t>
  </si>
  <si>
    <t>specialuri tansacmeli da aqsesuarebi</t>
  </si>
  <si>
    <t>e.t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</si>
  <si>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"b" qvepunqti</t>
    </r>
  </si>
  <si>
    <t>samkaulebi, saaTebi da monaTesave nivTebi</t>
  </si>
  <si>
    <t>markebi, Cekebis wignakebi, banknotebi, aqciebi, sareklamo masala, katalogebi  da saxelmZRvaneloebi</t>
  </si>
  <si>
    <t>sasuqebi da nitrogenuli naerTebi</t>
  </si>
  <si>
    <t xml:space="preserve">saofise manqana-danadgarebi, aRWurviloba da sakancelario nivTebi, kompiuterebis, printerebisa da avejis garda </t>
  </si>
  <si>
    <t>kompiuteruli mowyobilobebi da aqsesuarebi</t>
  </si>
  <si>
    <t>eleqtroZravebi, generatorebi da transformatorebi</t>
  </si>
  <si>
    <t xml:space="preserve">akumulatorebi, denis pirveladi wyaroebi da pirveladi elementebi </t>
  </si>
  <si>
    <t>gasanaTebeli mowyobilobebi da eleqtronaTurebi</t>
  </si>
  <si>
    <t>radiotelefoniis, radiosatelegrafo, radio da telemauwyeblobis aparatura</t>
  </si>
  <si>
    <t>tele da radiosignalis mimRebebi da audio an videogamosaxulebis Camweri an aRwarmoebis aparatura</t>
  </si>
  <si>
    <t>qselebi</t>
  </si>
  <si>
    <t>satelekomunikacio mowyobilobebi da aqsesuarebi</t>
  </si>
  <si>
    <t>samedicino mowyobilobebi</t>
  </si>
  <si>
    <t>avtosatransporto saualebebi</t>
  </si>
  <si>
    <t>nawilebi da aqsesuarebi satransporto saSualebebisa da maTi ZravebisTvis</t>
  </si>
  <si>
    <t>sxvadasxva satransporto mowyobiloba da saTadarigo nawilebi</t>
  </si>
  <si>
    <t xml:space="preserve">sagangebo situaciebis dros gamosayenebeli mowyobilobebi da usafrTxoebis saSualebebi </t>
  </si>
  <si>
    <t>optikuri xelsawyoebi</t>
  </si>
  <si>
    <t>aveji</t>
  </si>
  <si>
    <t>avejis aqsesuarebi</t>
  </si>
  <si>
    <t>amwe da gadasazidi mowyobilobebi da maTi nawilebi</t>
  </si>
  <si>
    <t>gamagrilebeli da saventilacio mowyobilobebi</t>
  </si>
  <si>
    <t>Carxebi</t>
  </si>
  <si>
    <t>sxvadasxva zogadi da specialuri daniSnulebis manqana-danadgarebi</t>
  </si>
  <si>
    <t xml:space="preserve">samSeneblo masalebi da damxmare samSeneblo masalebi </t>
  </si>
  <si>
    <t>struqturuli masalebi</t>
  </si>
  <si>
    <t>kabelebi, mavTulebi da maTTan dakavSirebuli masalebi</t>
  </si>
  <si>
    <t>sxvadasxva qarxnuli warmoebis masala da maTTan dakavSirebuli sagnebi</t>
  </si>
  <si>
    <t>xelsawyoebi, saketebi, gasaRebebi, anjamebi, damWerebi, Wajvebi da zambarebi/resorebi</t>
  </si>
  <si>
    <t>saRebavebi, laqebi da mastikebi</t>
  </si>
  <si>
    <t>mTliani an nawilobrivi samSeneblo samuSaoebi da samoqalaqo mSeneblobis samuSaoebi</t>
  </si>
  <si>
    <t>samSeneblo-samontaJo samuSaoebi</t>
  </si>
  <si>
    <t>Senobis dasrulebis samuSaoebi</t>
  </si>
  <si>
    <t>qselebis, internetisa da intranetis programuli paketebi</t>
  </si>
  <si>
    <t>monacemTa bazisa da operaciuli programuli paketebi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</si>
  <si>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</si>
  <si>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</si>
  <si>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</si>
  <si>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avtomanqanebis recxva</t>
  </si>
  <si>
    <t xml:space="preserve">personaluri kompiuterebis, saofise aparaturis, satelekomunikacio da audiovizualuri mowyobilobebis SekeTeba, teqnikuri momsaxureba da maTTan dakavSirebuli momsaxurebebi </t>
  </si>
  <si>
    <t>tumboebis, sarqvelebis, onkanebisa da liTonis konteinerebis, aseve, manqana-danadgarebis SekeTeba da teqnikuri momsaxureba</t>
  </si>
  <si>
    <t>Senobis mowyobilobebis SekeTeba da teqnikuri momsaxureba</t>
  </si>
  <si>
    <t xml:space="preserve">restornebisa da kvebis sawarmoebis momsaxureobebi </t>
  </si>
  <si>
    <t>saavtomobilo transportis momsaxurebebi</t>
  </si>
  <si>
    <t xml:space="preserve">tvirTis gadazidvisa da Senaxvis momsaxurebebi </t>
  </si>
  <si>
    <t>saxmeleTo, wylisa da sahaero transportis damxmare momsaxurebebi</t>
  </si>
  <si>
    <t>safosto da sakuriero momsaxurebebi</t>
  </si>
  <si>
    <t xml:space="preserve">satelekomunikacio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</si>
  <si>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</si>
  <si>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kanonis  me-10¹ muxlis me-3 punqtis "z" qvepunqti</t>
  </si>
  <si>
    <t>sadazRvevo da sapensio momsaxurebebi</t>
  </si>
  <si>
    <t xml:space="preserve">programuli uzrunvelyofis SemuSaveba da sakonsultacio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</si>
  <si>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</si>
  <si>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 xml:space="preserve">internetmomsaxurebebi </t>
  </si>
  <si>
    <t>Gg.S</t>
  </si>
  <si>
    <t>administraciuli momsaxureba</t>
  </si>
  <si>
    <t>WaburRilis koSkuris ganTavsebasTan dakavSirebuli momsaxurebebi</t>
  </si>
  <si>
    <t>satyeo meurneobasTan dakavSirebuli momsaxurbebi</t>
  </si>
  <si>
    <t>gamoZiebasa da usafrTxoebasTan dakavSirebuli momsaxurebebi</t>
  </si>
  <si>
    <t>sxvadasxva komerciuli momsaxureba da masTan dakavSirebuli momsaxurebebi</t>
  </si>
  <si>
    <t>satreningo momsaxurebebi</t>
  </si>
  <si>
    <t>dasufTaveba da sanitariuli momsaxureba</t>
  </si>
  <si>
    <t>kino da videomomsaxurebebi</t>
  </si>
  <si>
    <t>IV kv</t>
  </si>
  <si>
    <t>radio da satelevizio momsaxurebebi</t>
  </si>
  <si>
    <t>axali ambebis saagentoebis momsaxurebebi</t>
  </si>
  <si>
    <t>biblioTekebis, arqivebis, muzeumebisa da sxva kulturuli dawesebulebebis momsaxurebebi</t>
  </si>
  <si>
    <t xml:space="preserve">finansuri departamentis, Sesyidvebis sammarTvelos ufrosi                                                                                        </t>
  </si>
  <si>
    <t>(xelmowera)</t>
  </si>
  <si>
    <t>saagentos ufrosi an uflebamosili piri</t>
  </si>
  <si>
    <t xml:space="preserve">               danarTi #1</t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</si>
  <si>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</si>
  <si>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034 00000</t>
  </si>
  <si>
    <t>metyeveobisa da tyekafvis produqtebi</t>
  </si>
  <si>
    <t>09200000</t>
  </si>
  <si>
    <t>traqtorebi</t>
  </si>
  <si>
    <t>samuSao tansacmeli, spectansacmeli da aqsesuarebi</t>
  </si>
  <si>
    <t>garedan Casacmeli tansacmeli</t>
  </si>
  <si>
    <t>fexsacmeli</t>
  </si>
  <si>
    <t>sabargo nivTebi, sasarajo nakeTobebi, tomrebi da CanTebi</t>
  </si>
  <si>
    <t>teqstilis narTi da Zafi</t>
  </si>
  <si>
    <t>tyavis, teqstilis, rezinisa da plastmasis narCeni</t>
  </si>
  <si>
    <t>nabeWdi wignebi, broSurebi da sainformacio furclebi</t>
  </si>
  <si>
    <t xml:space="preserve">qaRaldis an muyaos saregistracio Jurnalebi/wignebi, sabuRaltro wignebi, formebi da sxva nabeWdi sakancelario nivTebi </t>
  </si>
  <si>
    <t xml:space="preserve"> sxvadasxva nabeWdi masala</t>
  </si>
  <si>
    <t xml:space="preserve"> sufTa qimikatebi da sxvadasxva qimiuri nivTierebebis produqtebi</t>
  </si>
  <si>
    <t>eleqtroenergiis gamanawilebeli da sakontrolo aparatura</t>
  </si>
  <si>
    <t>izolirebuli mavTuli da kabeli</t>
  </si>
  <si>
    <t>eleqtromowyobilobebi da aparatura</t>
  </si>
  <si>
    <t>individualuri da damxmare mowyobilobebi</t>
  </si>
  <si>
    <t>qsovilis nivTebi</t>
  </si>
  <si>
    <t>saojaxo teqnika</t>
  </si>
  <si>
    <t>sawmendi da saprialebeli produqcia</t>
  </si>
  <si>
    <t>bunebrivi wyali</t>
  </si>
  <si>
    <t>danadgarebi meqanikuri energiis warmoebisa da gamoyenebisTvis</t>
  </si>
  <si>
    <t>saamqros danadgarebi</t>
  </si>
  <si>
    <t>saqmiani garigebebisa da piradi saqmeebis marTvis programuli paketebi</t>
  </si>
  <si>
    <t xml:space="preserve"> sxvadasxva saxis saremonto (SesakeTebeli) samuSaoebi da teqnikuri momsaxureba</t>
  </si>
  <si>
    <t>wylis ganawileba da masTan dakavSirebuli momsaxurebebi</t>
  </si>
  <si>
    <t>arqiteqturuli da masTan dakavSirebuli momsaxurebebi</t>
  </si>
  <si>
    <t>teqnikuri Semowmeba, analizi da sakonsultacio momsaxurebebi</t>
  </si>
  <si>
    <t>mebaRCeobasTan dakavSirebuli momsaxurebebi</t>
  </si>
  <si>
    <t xml:space="preserve"> bazris kvleva da ekonomikuri kvleva; gamokiTxvebi da statistika</t>
  </si>
  <si>
    <t>biznessa da menejmentTan dakavSirebuli konsultaciebi da momsaxurebebi</t>
  </si>
  <si>
    <t>ofisis muSaobis uzrunvelyofasTan dakavSirebuli momsaxurebebi</t>
  </si>
  <si>
    <t>Camdinare wylebTan dakavSirebuli momsaxurebebi</t>
  </si>
  <si>
    <t xml:space="preserve">finansuri departamentis, Sesyidvebis sammarTvelos ufrosi                                                                                     </t>
  </si>
  <si>
    <t xml:space="preserve">                  danarTi #3</t>
  </si>
  <si>
    <t xml:space="preserve">             saxelmwifo Sesyidvebis wliuri gegmis forma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</si>
  <si>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</si>
  <si>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</si>
  <si>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</si>
  <si>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t xml:space="preserve">                  danarTi #4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</si>
  <si>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</si>
  <si>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</si>
  <si>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</si>
  <si>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III kv</t>
  </si>
  <si>
    <t>III-IV kv</t>
  </si>
  <si>
    <t>sastumros momsaxureba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</si>
  <si>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</si>
  <si>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</si>
  <si>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</si>
  <si>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</si>
  <si>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10 seqtemberi 2025 weli</t>
    </r>
  </si>
  <si>
    <t>01 საქონელი</t>
  </si>
  <si>
    <t>03 არაფინანსური</t>
  </si>
  <si>
    <t>01 არაფინანსური</t>
  </si>
  <si>
    <t>TviTmfrinavebi (sahaero xomaldebi) da kosmosuri xomaldebi</t>
  </si>
  <si>
    <t>sportuli saqoneli da aRWurviloba - (inventari)</t>
  </si>
  <si>
    <t>sanavigacio da meteorologiuri xelsawyoebi</t>
  </si>
  <si>
    <t>eleqtroenergiis ganawileba da masTan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</si>
  <si>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10 seqtemberi 2025 weli</t>
    </r>
  </si>
  <si>
    <t>03 kodi saqoneli</t>
  </si>
  <si>
    <t>01 kodi saqobeli</t>
  </si>
  <si>
    <t>01 kodi arafinansuri</t>
  </si>
  <si>
    <t>sainJinro momsaxurebebi</t>
  </si>
  <si>
    <t>mSeneblobasTan dakavSirebuli momsaxurebebi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</si>
</sst>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0.000"/>
  </numFmts>
  <fonts count="37" x14ac:knownFonts="1">
    <font>
      <sz val="10"/>
      <name val="Arial"/>
      <charset val="204"/>
    </font>
    <font>
      <b/>
      <sz val="10"/>
      <name val="AcadNusx"/>
    </font>
    <font>
      <sz val="10"/>
      <name val="AcadNusx"/>
    </font>
    <font>
      <sz val="9"/>
      <name val="AcadNusx"/>
    </font>
    <font>
      <sz val="8"/>
      <name val="AcadNusx"/>
    </font>
    <font>
      <b/>
      <sz val="8"/>
      <name val="AcadNusx"/>
    </font>
    <font>
      <sz val="10"/>
      <name val="Arial"/>
      <family val="2"/>
    </font>
    <font>
      <b/>
      <sz val="10"/>
      <color rgb="FFFF0000"/>
      <name val="AcadNusx"/>
    </font>
    <font>
      <sz val="7"/>
      <name val="AcadNusx"/>
    </font>
    <font>
      <b/>
      <i/>
      <sz val="9"/>
      <name val="AcadNusx"/>
    </font>
    <font>
      <sz val="10"/>
      <color rgb="FFFF0000"/>
      <name val="AcadNusx"/>
    </font>
    <font>
      <b/>
      <sz val="9"/>
      <name val="AcadNusx"/>
    </font>
    <font>
      <sz val="9"/>
      <name val="Arial"/>
      <family val="2"/>
    </font>
    <font>
      <sz val="8"/>
      <color rgb="FFFF0000"/>
      <name val="AcadNusx"/>
    </font>
    <font>
      <sz val="7"/>
      <name val="Calibri"/>
      <family val="2"/>
      <charset val="204"/>
    </font>
    <font>
      <b/>
      <sz val="9"/>
      <color rgb="FFFF0000"/>
      <name val="AcadNusx"/>
    </font>
    <font>
      <sz val="9"/>
      <color rgb="FFFF0000"/>
      <name val="AcadNusx"/>
    </font>
    <font>
      <b/>
      <sz val="9"/>
      <color rgb="FF00B050"/>
      <name val="AcadNusx"/>
    </font>
    <font>
      <sz val="10"/>
      <color rgb="FF00B050"/>
      <name val="AcadNusx"/>
    </font>
    <font>
      <b/>
      <sz val="12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sz val="8"/>
      <name val="Times New Roman"/>
      <family val="1"/>
      <charset val="204"/>
    </font>
    <font>
      <b/>
      <sz val="9"/>
      <name val="Times New Roman"/>
      <family val="1"/>
    </font>
    <font>
      <b/>
      <sz val="7"/>
      <color rgb="FF0070C0"/>
      <name val="AcadNusx"/>
    </font>
    <font>
      <sz val="6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  <font>
      <sz val="6"/>
      <color rgb="FFFF0000"/>
      <name val="AcadNusx"/>
    </font>
    <font>
      <b/>
      <sz val="8"/>
      <color rgb="FF0070C0"/>
      <name val="AcadNusx"/>
    </font>
    <font>
      <sz val="7"/>
      <color rgb="FF0070C0"/>
      <name val="AcadNusx"/>
    </font>
    <font>
      <sz val="16"/>
      <name val="AcadNusx"/>
    </font>
    <font>
      <b/>
      <sz val="7"/>
      <color rgb="FFFF0000"/>
      <name val="AcadNusx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5">
    <xf numFmtId="0" fontId="0" fillId="0" borderId="0" xfId="0"/>
    <xf numFmtId="164" fontId="2" fillId="0" borderId="0" xfId="1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" fontId="22" fillId="0" borderId="8" xfId="1" applyNumberFormat="1" applyFont="1" applyFill="1" applyBorder="1" applyAlignment="1">
      <alignment horizontal="center" vertical="center" wrapText="1"/>
    </xf>
    <xf numFmtId="1" fontId="20" fillId="0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19" fillId="0" borderId="0" xfId="1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3" fillId="0" borderId="8" xfId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1" fontId="1" fillId="0" borderId="0" xfId="1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right" vertical="center" wrapText="1"/>
    </xf>
    <xf numFmtId="43" fontId="10" fillId="0" borderId="0" xfId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horizontal="right" vertical="center" wrapText="1"/>
    </xf>
    <xf numFmtId="0" fontId="26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2" fontId="15" fillId="0" borderId="8" xfId="1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0" xfId="1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" fontId="1" fillId="0" borderId="7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105</xdr:row>
      <xdr:rowOff>0</xdr:rowOff>
    </xdr:from>
    <xdr:to>
      <xdr:col>5</xdr:col>
      <xdr:colOff>981075</xdr:colOff>
      <xdr:row>105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CFFA39D4-664D-4B04-A74C-8B5828800CBC}"/>
            </a:ext>
          </a:extLst>
        </xdr:cNvPr>
        <xdr:cNvSpPr>
          <a:spLocks noChangeShapeType="1"/>
        </xdr:cNvSpPr>
      </xdr:nvSpPr>
      <xdr:spPr bwMode="auto">
        <a:xfrm>
          <a:off x="4629150" y="429196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108</xdr:row>
      <xdr:rowOff>9525</xdr:rowOff>
    </xdr:from>
    <xdr:to>
      <xdr:col>5</xdr:col>
      <xdr:colOff>981075</xdr:colOff>
      <xdr:row>108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0AF0117-DEEC-4991-9DA1-1A8246B034B2}"/>
            </a:ext>
          </a:extLst>
        </xdr:cNvPr>
        <xdr:cNvSpPr>
          <a:spLocks noChangeShapeType="1"/>
        </xdr:cNvSpPr>
      </xdr:nvSpPr>
      <xdr:spPr bwMode="auto">
        <a:xfrm flipV="1">
          <a:off x="4629150" y="4369117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105</xdr:row>
      <xdr:rowOff>9525</xdr:rowOff>
    </xdr:from>
    <xdr:to>
      <xdr:col>5</xdr:col>
      <xdr:colOff>971550</xdr:colOff>
      <xdr:row>105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49AB34C-9EE7-40EE-9226-B1ECB9813474}"/>
            </a:ext>
          </a:extLst>
        </xdr:cNvPr>
        <xdr:cNvSpPr>
          <a:spLocks noChangeShapeType="1"/>
        </xdr:cNvSpPr>
      </xdr:nvSpPr>
      <xdr:spPr bwMode="auto">
        <a:xfrm flipV="1">
          <a:off x="4629150" y="42929175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117</xdr:row>
      <xdr:rowOff>0</xdr:rowOff>
    </xdr:from>
    <xdr:to>
      <xdr:col>5</xdr:col>
      <xdr:colOff>981075</xdr:colOff>
      <xdr:row>117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4629150" y="457676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120</xdr:row>
      <xdr:rowOff>9525</xdr:rowOff>
    </xdr:from>
    <xdr:to>
      <xdr:col>5</xdr:col>
      <xdr:colOff>981075</xdr:colOff>
      <xdr:row>120</xdr:row>
      <xdr:rowOff>9525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4629150" y="465391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117</xdr:row>
      <xdr:rowOff>9525</xdr:rowOff>
    </xdr:from>
    <xdr:to>
      <xdr:col>5</xdr:col>
      <xdr:colOff>971550</xdr:colOff>
      <xdr:row>117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629150" y="45777150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116</xdr:row>
      <xdr:rowOff>0</xdr:rowOff>
    </xdr:from>
    <xdr:to>
      <xdr:col>5</xdr:col>
      <xdr:colOff>981075</xdr:colOff>
      <xdr:row>116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1E877-3DB0-4BBB-B29D-D85C3A380293}"/>
            </a:ext>
          </a:extLst>
        </xdr:cNvPr>
        <xdr:cNvSpPr>
          <a:spLocks noChangeShapeType="1"/>
        </xdr:cNvSpPr>
      </xdr:nvSpPr>
      <xdr:spPr bwMode="auto">
        <a:xfrm>
          <a:off x="4505325" y="496538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121</xdr:row>
      <xdr:rowOff>9525</xdr:rowOff>
    </xdr:from>
    <xdr:to>
      <xdr:col>5</xdr:col>
      <xdr:colOff>981075</xdr:colOff>
      <xdr:row>121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23FE715-FA83-430C-B98D-800CC6012E61}"/>
            </a:ext>
          </a:extLst>
        </xdr:cNvPr>
        <xdr:cNvSpPr>
          <a:spLocks noChangeShapeType="1"/>
        </xdr:cNvSpPr>
      </xdr:nvSpPr>
      <xdr:spPr bwMode="auto">
        <a:xfrm flipV="1">
          <a:off x="4505325" y="506063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116</xdr:row>
      <xdr:rowOff>9525</xdr:rowOff>
    </xdr:from>
    <xdr:to>
      <xdr:col>5</xdr:col>
      <xdr:colOff>971550</xdr:colOff>
      <xdr:row>116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E69C5339-00CD-4A08-B412-121388660842}"/>
            </a:ext>
          </a:extLst>
        </xdr:cNvPr>
        <xdr:cNvSpPr>
          <a:spLocks noChangeShapeType="1"/>
        </xdr:cNvSpPr>
      </xdr:nvSpPr>
      <xdr:spPr bwMode="auto">
        <a:xfrm flipV="1">
          <a:off x="4505325" y="49663350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122</xdr:row>
      <xdr:rowOff>0</xdr:rowOff>
    </xdr:from>
    <xdr:to>
      <xdr:col>5</xdr:col>
      <xdr:colOff>981075</xdr:colOff>
      <xdr:row>122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4505325" y="520255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127</xdr:row>
      <xdr:rowOff>9525</xdr:rowOff>
    </xdr:from>
    <xdr:to>
      <xdr:col>5</xdr:col>
      <xdr:colOff>981075</xdr:colOff>
      <xdr:row>127</xdr:row>
      <xdr:rowOff>9525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4505325" y="529780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122</xdr:row>
      <xdr:rowOff>9525</xdr:rowOff>
    </xdr:from>
    <xdr:to>
      <xdr:col>5</xdr:col>
      <xdr:colOff>971550</xdr:colOff>
      <xdr:row>122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505325" y="52035075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9DA8EBF-B340-47AB-AD56-A7CA3CF66617}"/>
            </a:ext>
          </a:extLst>
        </xdr:cNvPr>
        <xdr:cNvSpPr>
          <a:spLocks noChangeShapeType="1"/>
        </xdr:cNvSpPr>
      </xdr:nvSpPr>
      <xdr:spPr bwMode="auto">
        <a:xfrm>
          <a:off x="5124450" y="14506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C4E156D-7A38-4B35-A484-6CB983708E27}"/>
            </a:ext>
          </a:extLst>
        </xdr:cNvPr>
        <xdr:cNvSpPr>
          <a:spLocks noChangeShapeType="1"/>
        </xdr:cNvSpPr>
      </xdr:nvSpPr>
      <xdr:spPr bwMode="auto">
        <a:xfrm flipV="1">
          <a:off x="5133975" y="157829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F63FA354-EFFD-414A-B401-A7384F691713}"/>
            </a:ext>
          </a:extLst>
        </xdr:cNvPr>
        <xdr:cNvSpPr>
          <a:spLocks noChangeShapeType="1"/>
        </xdr:cNvSpPr>
      </xdr:nvSpPr>
      <xdr:spPr bwMode="auto">
        <a:xfrm flipV="1">
          <a:off x="5133975" y="145161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63AD6172-72A4-4F92-B0DC-BDE018149352}"/>
            </a:ext>
          </a:extLst>
        </xdr:cNvPr>
        <xdr:cNvSpPr>
          <a:spLocks noChangeShapeType="1"/>
        </xdr:cNvSpPr>
      </xdr:nvSpPr>
      <xdr:spPr bwMode="auto">
        <a:xfrm>
          <a:off x="5124450" y="3695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D603E1F-2A72-4E74-BBC8-E7700A8A0A90}"/>
            </a:ext>
          </a:extLst>
        </xdr:cNvPr>
        <xdr:cNvSpPr>
          <a:spLocks noChangeShapeType="1"/>
        </xdr:cNvSpPr>
      </xdr:nvSpPr>
      <xdr:spPr bwMode="auto">
        <a:xfrm flipV="1">
          <a:off x="5133975" y="456247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41072338-7BF9-4E13-B4FE-E7CDC3BAD627}"/>
            </a:ext>
          </a:extLst>
        </xdr:cNvPr>
        <xdr:cNvSpPr>
          <a:spLocks noChangeShapeType="1"/>
        </xdr:cNvSpPr>
      </xdr:nvSpPr>
      <xdr:spPr bwMode="auto">
        <a:xfrm flipV="1">
          <a:off x="5133975" y="37052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view="pageBreakPreview" zoomScale="115" zoomScaleNormal="115" zoomScaleSheetLayoutView="115" workbookViewId="0">
      <selection activeCell="A9" sqref="A9:H9"/>
    </sheetView>
  </sheetViews>
  <sheetFormatPr defaultRowHeight="13.5" x14ac:dyDescent="0.2"/>
  <cols>
    <col min="1" max="1" width="3.85546875" style="4" customWidth="1"/>
    <col min="2" max="2" width="10" style="4" customWidth="1"/>
    <col min="3" max="3" width="55.5703125" style="3" customWidth="1"/>
    <col min="4" max="4" width="11.42578125" style="1" customWidth="1"/>
    <col min="5" max="5" width="10.42578125" style="3" customWidth="1"/>
    <col min="6" max="6" width="12.42578125" style="3" bestFit="1" customWidth="1"/>
    <col min="7" max="7" width="10.7109375" style="3" customWidth="1"/>
    <col min="8" max="8" width="43.5703125" style="3" customWidth="1"/>
    <col min="9" max="9" width="23.140625" style="70" customWidth="1"/>
    <col min="10" max="10" width="21.42578125" style="70" customWidth="1"/>
    <col min="11" max="11" width="20.85546875" style="71" customWidth="1"/>
    <col min="12" max="12" width="9.140625" style="3"/>
    <col min="13" max="16384" width="9.140625" style="6"/>
  </cols>
  <sheetData>
    <row r="1" spans="1:12" ht="6" customHeight="1" x14ac:dyDescent="0.2"/>
    <row r="2" spans="1:12" s="8" customFormat="1" ht="23.25" customHeight="1" x14ac:dyDescent="0.2">
      <c r="A2" s="3"/>
      <c r="B2" s="3"/>
      <c r="C2" s="3"/>
      <c r="D2" s="1"/>
      <c r="E2" s="3"/>
      <c r="F2" s="3"/>
      <c r="G2" s="3"/>
      <c r="H2" s="72" t="s">
        <v>0</v>
      </c>
      <c r="I2" s="70"/>
      <c r="J2" s="70"/>
      <c r="K2" s="73"/>
      <c r="L2" s="73"/>
    </row>
    <row r="3" spans="1:12" s="8" customFormat="1" ht="20.25" customHeight="1" x14ac:dyDescent="0.2">
      <c r="A3" s="3"/>
      <c r="B3" s="3"/>
      <c r="C3" s="136" t="s">
        <v>1</v>
      </c>
      <c r="D3" s="136"/>
      <c r="E3" s="136"/>
      <c r="F3" s="136"/>
      <c r="G3" s="136"/>
      <c r="H3" s="3"/>
      <c r="I3" s="70"/>
      <c r="J3" s="70">
        <v>6631551.9100000001</v>
      </c>
      <c r="K3" s="73"/>
      <c r="L3" s="73"/>
    </row>
    <row r="4" spans="1:12" s="8" customFormat="1" ht="26.25" customHeight="1" x14ac:dyDescent="0.2">
      <c r="A4" s="130" t="s">
        <v>157</v>
      </c>
      <c r="B4" s="131"/>
      <c r="C4" s="131"/>
      <c r="D4" s="131"/>
      <c r="E4" s="132"/>
      <c r="F4" s="140" t="s">
        <v>2</v>
      </c>
      <c r="G4" s="141"/>
      <c r="H4" s="142"/>
      <c r="I4" s="74"/>
      <c r="J4" s="74">
        <f>J3-A9</f>
        <v>-7542148.0899999999</v>
      </c>
      <c r="K4" s="73"/>
      <c r="L4" s="73"/>
    </row>
    <row r="5" spans="1:12" s="8" customFormat="1" ht="18.75" customHeight="1" x14ac:dyDescent="0.2">
      <c r="A5" s="137"/>
      <c r="B5" s="138"/>
      <c r="C5" s="138"/>
      <c r="D5" s="138"/>
      <c r="E5" s="139"/>
      <c r="F5" s="143">
        <v>204578581</v>
      </c>
      <c r="G5" s="144"/>
      <c r="H5" s="145"/>
      <c r="I5" s="74"/>
      <c r="J5" s="74"/>
      <c r="K5" s="73"/>
      <c r="L5" s="73"/>
    </row>
    <row r="6" spans="1:12" s="8" customFormat="1" ht="22.5" customHeight="1" x14ac:dyDescent="0.2">
      <c r="A6" s="130" t="s">
        <v>3</v>
      </c>
      <c r="B6" s="131"/>
      <c r="C6" s="131"/>
      <c r="D6" s="131"/>
      <c r="E6" s="132"/>
      <c r="F6" s="130" t="s">
        <v>4</v>
      </c>
      <c r="G6" s="146"/>
      <c r="H6" s="147"/>
      <c r="I6" s="74"/>
      <c r="J6" s="74"/>
      <c r="K6" s="73"/>
      <c r="L6" s="73"/>
    </row>
    <row r="7" spans="1:12" s="8" customFormat="1" ht="21.75" customHeight="1" x14ac:dyDescent="0.2">
      <c r="A7" s="143" t="s">
        <v>5</v>
      </c>
      <c r="B7" s="144"/>
      <c r="C7" s="144"/>
      <c r="D7" s="144"/>
      <c r="E7" s="145"/>
      <c r="F7" s="148"/>
      <c r="G7" s="149"/>
      <c r="H7" s="150"/>
      <c r="I7" s="70"/>
      <c r="J7" s="70"/>
      <c r="K7" s="73"/>
      <c r="L7" s="73"/>
    </row>
    <row r="8" spans="1:12" s="8" customFormat="1" ht="21" customHeight="1" x14ac:dyDescent="0.2">
      <c r="A8" s="130" t="s">
        <v>6</v>
      </c>
      <c r="B8" s="131"/>
      <c r="C8" s="131"/>
      <c r="D8" s="131"/>
      <c r="E8" s="131"/>
      <c r="F8" s="131"/>
      <c r="G8" s="131"/>
      <c r="H8" s="132"/>
      <c r="I8" s="74"/>
      <c r="J8" s="75" t="e">
        <f>SUM(J9:J11)</f>
        <v>#REF!</v>
      </c>
      <c r="K8" s="76" t="e">
        <f>I9+J8</f>
        <v>#REF!</v>
      </c>
      <c r="L8" s="73"/>
    </row>
    <row r="9" spans="1:12" s="80" customFormat="1" ht="15.75" customHeight="1" x14ac:dyDescent="0.2">
      <c r="A9" s="133">
        <f>14825700-652000</f>
        <v>14173700</v>
      </c>
      <c r="B9" s="134"/>
      <c r="C9" s="134"/>
      <c r="D9" s="134"/>
      <c r="E9" s="134"/>
      <c r="F9" s="134"/>
      <c r="G9" s="134"/>
      <c r="H9" s="134"/>
      <c r="I9" s="77"/>
      <c r="J9" s="78">
        <f>D18+D31+D33+D35+D36+D53+D79+D60+D81</f>
        <v>209480</v>
      </c>
      <c r="K9" s="79" t="s">
        <v>158</v>
      </c>
    </row>
    <row r="10" spans="1:12" s="11" customFormat="1" ht="66.75" customHeight="1" x14ac:dyDescent="0.2">
      <c r="A10" s="69" t="s">
        <v>7</v>
      </c>
      <c r="B10" s="69" t="s">
        <v>8</v>
      </c>
      <c r="C10" s="69" t="s">
        <v>9</v>
      </c>
      <c r="D10" s="10" t="s">
        <v>10</v>
      </c>
      <c r="E10" s="69" t="s">
        <v>11</v>
      </c>
      <c r="F10" s="69" t="s">
        <v>12</v>
      </c>
      <c r="G10" s="69" t="s">
        <v>13</v>
      </c>
      <c r="H10" s="69" t="s">
        <v>14</v>
      </c>
      <c r="I10" s="70"/>
      <c r="J10" s="75">
        <f>D64</f>
        <v>50000</v>
      </c>
      <c r="K10" s="81" t="s">
        <v>159</v>
      </c>
      <c r="L10" s="80"/>
    </row>
    <row r="11" spans="1:12" s="11" customFormat="1" ht="15" customHeight="1" x14ac:dyDescent="0.2">
      <c r="A11" s="69">
        <v>1</v>
      </c>
      <c r="B11" s="69">
        <v>2</v>
      </c>
      <c r="C11" s="69">
        <v>3</v>
      </c>
      <c r="D11" s="12">
        <v>4</v>
      </c>
      <c r="E11" s="69">
        <v>5</v>
      </c>
      <c r="F11" s="69">
        <v>6</v>
      </c>
      <c r="G11" s="69">
        <v>7</v>
      </c>
      <c r="H11" s="69">
        <v>8</v>
      </c>
      <c r="I11" s="70"/>
      <c r="J11" s="75" t="e">
        <f>#REF!</f>
        <v>#REF!</v>
      </c>
      <c r="K11" s="82" t="s">
        <v>160</v>
      </c>
      <c r="L11" s="80"/>
    </row>
    <row r="12" spans="1:12" s="15" customFormat="1" ht="31.5" customHeight="1" x14ac:dyDescent="0.2">
      <c r="A12" s="69">
        <v>1</v>
      </c>
      <c r="B12" s="37" t="s">
        <v>15</v>
      </c>
      <c r="C12" s="69" t="s">
        <v>16</v>
      </c>
      <c r="D12" s="12">
        <f>911382-32000</f>
        <v>879382</v>
      </c>
      <c r="E12" s="69" t="s">
        <v>17</v>
      </c>
      <c r="F12" s="37" t="s">
        <v>18</v>
      </c>
      <c r="G12" s="37" t="s">
        <v>19</v>
      </c>
      <c r="H12" s="38" t="s">
        <v>20</v>
      </c>
      <c r="I12" s="83"/>
      <c r="J12" s="84"/>
      <c r="K12" s="85"/>
    </row>
    <row r="13" spans="1:12" s="15" customFormat="1" ht="28.5" customHeight="1" x14ac:dyDescent="0.2">
      <c r="A13" s="69">
        <v>2</v>
      </c>
      <c r="B13" s="135" t="s">
        <v>21</v>
      </c>
      <c r="C13" s="129" t="s">
        <v>22</v>
      </c>
      <c r="D13" s="12">
        <v>9900</v>
      </c>
      <c r="E13" s="69" t="s">
        <v>23</v>
      </c>
      <c r="F13" s="37" t="s">
        <v>18</v>
      </c>
      <c r="G13" s="37" t="s">
        <v>19</v>
      </c>
      <c r="H13" s="38"/>
      <c r="I13" s="86"/>
      <c r="J13" s="85"/>
    </row>
    <row r="14" spans="1:12" s="15" customFormat="1" ht="29.25" customHeight="1" x14ac:dyDescent="0.2">
      <c r="A14" s="69">
        <v>3</v>
      </c>
      <c r="B14" s="135"/>
      <c r="C14" s="129"/>
      <c r="D14" s="12">
        <f>56527-1012</f>
        <v>55515</v>
      </c>
      <c r="E14" s="69" t="s">
        <v>17</v>
      </c>
      <c r="F14" s="37" t="s">
        <v>18</v>
      </c>
      <c r="G14" s="37" t="s">
        <v>19</v>
      </c>
      <c r="H14" s="38" t="s">
        <v>20</v>
      </c>
      <c r="I14" s="83"/>
      <c r="J14" s="85"/>
    </row>
    <row r="15" spans="1:12" s="17" customFormat="1" ht="30.75" customHeight="1" x14ac:dyDescent="0.2">
      <c r="A15" s="69">
        <v>4</v>
      </c>
      <c r="B15" s="47">
        <v>14200000</v>
      </c>
      <c r="C15" s="69" t="s">
        <v>24</v>
      </c>
      <c r="D15" s="12">
        <v>1000</v>
      </c>
      <c r="E15" s="69" t="s">
        <v>23</v>
      </c>
      <c r="F15" s="37" t="s">
        <v>25</v>
      </c>
      <c r="G15" s="37" t="s">
        <v>26</v>
      </c>
      <c r="H15" s="69"/>
      <c r="I15" s="87"/>
    </row>
    <row r="16" spans="1:12" s="15" customFormat="1" ht="32.25" customHeight="1" x14ac:dyDescent="0.2">
      <c r="A16" s="69">
        <v>5</v>
      </c>
      <c r="B16" s="88">
        <v>15800000</v>
      </c>
      <c r="C16" s="69" t="s">
        <v>27</v>
      </c>
      <c r="D16" s="12">
        <f>700-500</f>
        <v>200</v>
      </c>
      <c r="E16" s="69" t="s">
        <v>23</v>
      </c>
      <c r="F16" s="37" t="s">
        <v>18</v>
      </c>
      <c r="G16" s="37" t="s">
        <v>19</v>
      </c>
      <c r="H16" s="38" t="s">
        <v>28</v>
      </c>
      <c r="I16" s="70"/>
      <c r="J16" s="85"/>
      <c r="K16" s="89"/>
    </row>
    <row r="17" spans="1:11" s="17" customFormat="1" ht="32.25" customHeight="1" x14ac:dyDescent="0.2">
      <c r="A17" s="69">
        <v>6</v>
      </c>
      <c r="B17" s="88">
        <v>15900000</v>
      </c>
      <c r="C17" s="69" t="s">
        <v>29</v>
      </c>
      <c r="D17" s="12">
        <f>5000-2850</f>
        <v>2150</v>
      </c>
      <c r="E17" s="69" t="s">
        <v>23</v>
      </c>
      <c r="F17" s="37" t="s">
        <v>18</v>
      </c>
      <c r="G17" s="37" t="s">
        <v>19</v>
      </c>
      <c r="H17" s="38" t="s">
        <v>28</v>
      </c>
      <c r="I17" s="70"/>
      <c r="J17" s="85"/>
    </row>
    <row r="18" spans="1:11" s="3" customFormat="1" ht="29.25" customHeight="1" x14ac:dyDescent="0.2">
      <c r="A18" s="69">
        <v>7</v>
      </c>
      <c r="B18" s="69">
        <v>18300000</v>
      </c>
      <c r="C18" s="69" t="s">
        <v>30</v>
      </c>
      <c r="D18" s="12">
        <f>3600+1590</f>
        <v>5190</v>
      </c>
      <c r="E18" s="69" t="s">
        <v>23</v>
      </c>
      <c r="F18" s="37" t="s">
        <v>18</v>
      </c>
      <c r="G18" s="37" t="s">
        <v>19</v>
      </c>
      <c r="H18" s="38"/>
      <c r="I18" s="83"/>
      <c r="J18" s="83"/>
      <c r="K18" s="70"/>
    </row>
    <row r="19" spans="1:11" s="15" customFormat="1" ht="29.25" customHeight="1" x14ac:dyDescent="0.2">
      <c r="A19" s="69">
        <v>8</v>
      </c>
      <c r="B19" s="129">
        <v>18400000</v>
      </c>
      <c r="C19" s="129" t="s">
        <v>31</v>
      </c>
      <c r="D19" s="12">
        <f>88075+5000</f>
        <v>93075</v>
      </c>
      <c r="E19" s="69" t="s">
        <v>32</v>
      </c>
      <c r="F19" s="37" t="s">
        <v>18</v>
      </c>
      <c r="G19" s="37" t="s">
        <v>19</v>
      </c>
      <c r="H19" s="38"/>
      <c r="I19" s="83"/>
      <c r="J19" s="84"/>
      <c r="K19" s="85"/>
    </row>
    <row r="20" spans="1:11" s="15" customFormat="1" ht="29.25" customHeight="1" x14ac:dyDescent="0.2">
      <c r="A20" s="69">
        <v>9</v>
      </c>
      <c r="B20" s="129"/>
      <c r="C20" s="129"/>
      <c r="D20" s="12">
        <f>76770+115155</f>
        <v>191925</v>
      </c>
      <c r="E20" s="69" t="s">
        <v>23</v>
      </c>
      <c r="F20" s="37" t="s">
        <v>25</v>
      </c>
      <c r="G20" s="37" t="s">
        <v>26</v>
      </c>
      <c r="H20" s="38" t="s">
        <v>33</v>
      </c>
      <c r="I20" s="83"/>
      <c r="J20" s="84"/>
      <c r="K20" s="85"/>
    </row>
    <row r="21" spans="1:11" s="15" customFormat="1" ht="30.75" customHeight="1" x14ac:dyDescent="0.2">
      <c r="A21" s="69">
        <v>10</v>
      </c>
      <c r="B21" s="129">
        <v>18500000</v>
      </c>
      <c r="C21" s="129" t="s">
        <v>34</v>
      </c>
      <c r="D21" s="12">
        <v>9990</v>
      </c>
      <c r="E21" s="69" t="s">
        <v>23</v>
      </c>
      <c r="F21" s="37" t="s">
        <v>18</v>
      </c>
      <c r="G21" s="37" t="s">
        <v>19</v>
      </c>
      <c r="H21" s="38"/>
      <c r="I21" s="70"/>
      <c r="J21" s="85"/>
    </row>
    <row r="22" spans="1:11" s="15" customFormat="1" ht="27.75" customHeight="1" x14ac:dyDescent="0.2">
      <c r="A22" s="69">
        <v>11</v>
      </c>
      <c r="B22" s="129"/>
      <c r="C22" s="129"/>
      <c r="D22" s="12">
        <f>10000-3000</f>
        <v>7000</v>
      </c>
      <c r="E22" s="69" t="s">
        <v>23</v>
      </c>
      <c r="F22" s="37" t="s">
        <v>18</v>
      </c>
      <c r="G22" s="37" t="s">
        <v>19</v>
      </c>
      <c r="H22" s="38" t="s">
        <v>28</v>
      </c>
      <c r="I22" s="70"/>
      <c r="J22" s="85"/>
    </row>
    <row r="23" spans="1:11" s="15" customFormat="1" ht="36" customHeight="1" x14ac:dyDescent="0.2">
      <c r="A23" s="69">
        <v>12</v>
      </c>
      <c r="B23" s="69">
        <v>18800000</v>
      </c>
      <c r="C23" s="69" t="s">
        <v>112</v>
      </c>
      <c r="D23" s="12">
        <v>2769</v>
      </c>
      <c r="E23" s="69" t="s">
        <v>23</v>
      </c>
      <c r="F23" s="37" t="s">
        <v>150</v>
      </c>
      <c r="G23" s="37" t="s">
        <v>151</v>
      </c>
      <c r="H23" s="38"/>
      <c r="I23" s="90"/>
      <c r="J23" s="85"/>
    </row>
    <row r="24" spans="1:11" s="15" customFormat="1" ht="39" customHeight="1" x14ac:dyDescent="0.2">
      <c r="A24" s="69">
        <v>13</v>
      </c>
      <c r="B24" s="69">
        <v>22400000</v>
      </c>
      <c r="C24" s="69" t="s">
        <v>35</v>
      </c>
      <c r="D24" s="12">
        <f>14429-2562</f>
        <v>11867</v>
      </c>
      <c r="E24" s="69" t="s">
        <v>32</v>
      </c>
      <c r="F24" s="37" t="s">
        <v>18</v>
      </c>
      <c r="G24" s="37" t="s">
        <v>19</v>
      </c>
      <c r="H24" s="38"/>
      <c r="I24" s="83"/>
      <c r="J24" s="84"/>
    </row>
    <row r="25" spans="1:11" s="15" customFormat="1" ht="37.5" customHeight="1" x14ac:dyDescent="0.2">
      <c r="A25" s="69">
        <v>14</v>
      </c>
      <c r="B25" s="88">
        <v>24400000</v>
      </c>
      <c r="C25" s="69" t="s">
        <v>36</v>
      </c>
      <c r="D25" s="12">
        <f>300000-151500</f>
        <v>148500</v>
      </c>
      <c r="E25" s="69" t="s">
        <v>32</v>
      </c>
      <c r="F25" s="37" t="s">
        <v>18</v>
      </c>
      <c r="G25" s="37" t="s">
        <v>19</v>
      </c>
      <c r="H25" s="38"/>
      <c r="I25" s="91"/>
    </row>
    <row r="26" spans="1:11" s="15" customFormat="1" ht="33.75" customHeight="1" x14ac:dyDescent="0.2">
      <c r="A26" s="69">
        <v>15</v>
      </c>
      <c r="B26" s="129">
        <v>30100000</v>
      </c>
      <c r="C26" s="129" t="s">
        <v>37</v>
      </c>
      <c r="D26" s="18">
        <f>10000-10</f>
        <v>9990</v>
      </c>
      <c r="E26" s="69" t="s">
        <v>32</v>
      </c>
      <c r="F26" s="37" t="s">
        <v>18</v>
      </c>
      <c r="G26" s="37" t="s">
        <v>19</v>
      </c>
      <c r="H26" s="39"/>
      <c r="I26" s="70"/>
      <c r="J26" s="85"/>
      <c r="K26" s="89"/>
    </row>
    <row r="27" spans="1:11" s="15" customFormat="1" ht="28.5" customHeight="1" x14ac:dyDescent="0.2">
      <c r="A27" s="69">
        <v>16</v>
      </c>
      <c r="B27" s="129"/>
      <c r="C27" s="129"/>
      <c r="D27" s="18">
        <f>26000+2550</f>
        <v>28550</v>
      </c>
      <c r="E27" s="69" t="s">
        <v>17</v>
      </c>
      <c r="F27" s="37" t="s">
        <v>18</v>
      </c>
      <c r="G27" s="37" t="s">
        <v>19</v>
      </c>
      <c r="H27" s="38" t="s">
        <v>20</v>
      </c>
      <c r="I27" s="70"/>
      <c r="J27" s="85"/>
      <c r="K27" s="89"/>
    </row>
    <row r="28" spans="1:11" s="3" customFormat="1" ht="30" customHeight="1" x14ac:dyDescent="0.2">
      <c r="A28" s="69">
        <v>17</v>
      </c>
      <c r="B28" s="129">
        <v>30200000</v>
      </c>
      <c r="C28" s="129" t="s">
        <v>38</v>
      </c>
      <c r="D28" s="19">
        <f>350000-162350</f>
        <v>187650</v>
      </c>
      <c r="E28" s="69" t="s">
        <v>17</v>
      </c>
      <c r="F28" s="37" t="s">
        <v>18</v>
      </c>
      <c r="G28" s="37" t="s">
        <v>19</v>
      </c>
      <c r="H28" s="38" t="s">
        <v>20</v>
      </c>
      <c r="I28" s="87"/>
      <c r="J28" s="70"/>
      <c r="K28" s="71"/>
    </row>
    <row r="29" spans="1:11" s="3" customFormat="1" ht="30" customHeight="1" x14ac:dyDescent="0.2">
      <c r="A29" s="69">
        <v>18</v>
      </c>
      <c r="B29" s="129"/>
      <c r="C29" s="129"/>
      <c r="D29" s="18">
        <v>8300</v>
      </c>
      <c r="E29" s="69" t="s">
        <v>17</v>
      </c>
      <c r="F29" s="37" t="s">
        <v>18</v>
      </c>
      <c r="G29" s="37" t="s">
        <v>19</v>
      </c>
      <c r="H29" s="38" t="s">
        <v>20</v>
      </c>
      <c r="I29" s="87"/>
      <c r="J29" s="70"/>
      <c r="K29" s="71"/>
    </row>
    <row r="30" spans="1:11" s="3" customFormat="1" ht="28.5" customHeight="1" x14ac:dyDescent="0.2">
      <c r="A30" s="69">
        <v>19</v>
      </c>
      <c r="B30" s="129"/>
      <c r="C30" s="129"/>
      <c r="D30" s="19">
        <v>9800</v>
      </c>
      <c r="E30" s="69" t="s">
        <v>23</v>
      </c>
      <c r="F30" s="37" t="s">
        <v>18</v>
      </c>
      <c r="G30" s="37" t="s">
        <v>19</v>
      </c>
      <c r="H30" s="38"/>
      <c r="I30" s="70"/>
      <c r="J30" s="70"/>
      <c r="K30" s="71"/>
    </row>
    <row r="31" spans="1:11" s="3" customFormat="1" ht="27.75" customHeight="1" x14ac:dyDescent="0.2">
      <c r="A31" s="69">
        <v>20</v>
      </c>
      <c r="B31" s="129">
        <v>31100000</v>
      </c>
      <c r="C31" s="129" t="s">
        <v>39</v>
      </c>
      <c r="D31" s="12">
        <f>1000+1400</f>
        <v>2400</v>
      </c>
      <c r="E31" s="69" t="s">
        <v>23</v>
      </c>
      <c r="F31" s="37" t="s">
        <v>18</v>
      </c>
      <c r="G31" s="37" t="s">
        <v>19</v>
      </c>
      <c r="H31" s="38"/>
      <c r="I31" s="90"/>
      <c r="J31" s="83"/>
      <c r="K31" s="70"/>
    </row>
    <row r="32" spans="1:11" s="3" customFormat="1" ht="26.25" customHeight="1" x14ac:dyDescent="0.2">
      <c r="A32" s="69">
        <v>21</v>
      </c>
      <c r="B32" s="129"/>
      <c r="C32" s="129"/>
      <c r="D32" s="20">
        <v>2400</v>
      </c>
      <c r="E32" s="69" t="s">
        <v>23</v>
      </c>
      <c r="F32" s="37" t="s">
        <v>25</v>
      </c>
      <c r="G32" s="37" t="s">
        <v>26</v>
      </c>
      <c r="H32" s="38"/>
      <c r="I32" s="90"/>
      <c r="J32" s="83"/>
      <c r="K32" s="70"/>
    </row>
    <row r="33" spans="1:11" s="3" customFormat="1" ht="26.25" customHeight="1" x14ac:dyDescent="0.2">
      <c r="A33" s="69">
        <v>22</v>
      </c>
      <c r="B33" s="129">
        <v>31400000</v>
      </c>
      <c r="C33" s="129" t="s">
        <v>40</v>
      </c>
      <c r="D33" s="12">
        <f>1000+6800</f>
        <v>7800</v>
      </c>
      <c r="E33" s="69" t="s">
        <v>23</v>
      </c>
      <c r="F33" s="37" t="s">
        <v>18</v>
      </c>
      <c r="G33" s="37" t="s">
        <v>19</v>
      </c>
      <c r="H33" s="38"/>
      <c r="I33" s="83"/>
      <c r="J33" s="83"/>
      <c r="K33" s="70"/>
    </row>
    <row r="34" spans="1:11" s="3" customFormat="1" ht="26.25" customHeight="1" x14ac:dyDescent="0.2">
      <c r="A34" s="69">
        <v>23</v>
      </c>
      <c r="B34" s="129"/>
      <c r="C34" s="129"/>
      <c r="D34" s="20">
        <v>860</v>
      </c>
      <c r="E34" s="69" t="s">
        <v>23</v>
      </c>
      <c r="F34" s="37" t="s">
        <v>18</v>
      </c>
      <c r="G34" s="37" t="s">
        <v>19</v>
      </c>
      <c r="H34" s="38"/>
      <c r="I34" s="83"/>
      <c r="J34" s="83"/>
      <c r="K34" s="70"/>
    </row>
    <row r="35" spans="1:11" s="3" customFormat="1" ht="29.25" customHeight="1" x14ac:dyDescent="0.2">
      <c r="A35" s="69">
        <v>24</v>
      </c>
      <c r="B35" s="129"/>
      <c r="C35" s="129"/>
      <c r="D35" s="12">
        <f>25000+1870</f>
        <v>26870</v>
      </c>
      <c r="E35" s="69" t="s">
        <v>17</v>
      </c>
      <c r="F35" s="37" t="s">
        <v>18</v>
      </c>
      <c r="G35" s="37" t="s">
        <v>19</v>
      </c>
      <c r="H35" s="38" t="s">
        <v>20</v>
      </c>
      <c r="I35" s="83"/>
      <c r="J35" s="83"/>
      <c r="K35" s="70"/>
    </row>
    <row r="36" spans="1:11" s="3" customFormat="1" ht="34.5" customHeight="1" x14ac:dyDescent="0.2">
      <c r="A36" s="69">
        <v>25</v>
      </c>
      <c r="B36" s="69">
        <v>31500000</v>
      </c>
      <c r="C36" s="69" t="s">
        <v>41</v>
      </c>
      <c r="D36" s="12">
        <f>16078-5318</f>
        <v>10760</v>
      </c>
      <c r="E36" s="69" t="s">
        <v>32</v>
      </c>
      <c r="F36" s="37" t="s">
        <v>18</v>
      </c>
      <c r="G36" s="37" t="s">
        <v>19</v>
      </c>
      <c r="H36" s="40"/>
      <c r="I36" s="92"/>
    </row>
    <row r="37" spans="1:11" s="3" customFormat="1" ht="39.75" customHeight="1" x14ac:dyDescent="0.2">
      <c r="A37" s="69">
        <v>26</v>
      </c>
      <c r="B37" s="69">
        <v>32200000</v>
      </c>
      <c r="C37" s="69" t="s">
        <v>42</v>
      </c>
      <c r="D37" s="12">
        <v>9990</v>
      </c>
      <c r="E37" s="69" t="s">
        <v>23</v>
      </c>
      <c r="F37" s="37" t="s">
        <v>18</v>
      </c>
      <c r="G37" s="37" t="s">
        <v>19</v>
      </c>
      <c r="H37" s="38"/>
      <c r="I37" s="83"/>
      <c r="J37" s="83"/>
      <c r="K37" s="70"/>
    </row>
    <row r="38" spans="1:11" s="3" customFormat="1" ht="33.75" customHeight="1" x14ac:dyDescent="0.2">
      <c r="A38" s="69">
        <v>27</v>
      </c>
      <c r="B38" s="129">
        <v>32300000</v>
      </c>
      <c r="C38" s="129" t="s">
        <v>43</v>
      </c>
      <c r="D38" s="12">
        <v>1000</v>
      </c>
      <c r="E38" s="69" t="s">
        <v>23</v>
      </c>
      <c r="F38" s="37" t="s">
        <v>18</v>
      </c>
      <c r="G38" s="37" t="s">
        <v>19</v>
      </c>
      <c r="H38" s="40"/>
      <c r="I38" s="93"/>
    </row>
    <row r="39" spans="1:11" s="3" customFormat="1" ht="33.75" customHeight="1" x14ac:dyDescent="0.2">
      <c r="A39" s="69">
        <v>28</v>
      </c>
      <c r="B39" s="129"/>
      <c r="C39" s="129"/>
      <c r="D39" s="20">
        <v>1105000</v>
      </c>
      <c r="E39" s="69" t="s">
        <v>17</v>
      </c>
      <c r="F39" s="37" t="s">
        <v>150</v>
      </c>
      <c r="G39" s="37" t="s">
        <v>151</v>
      </c>
      <c r="H39" s="38" t="s">
        <v>20</v>
      </c>
      <c r="I39" s="93"/>
    </row>
    <row r="40" spans="1:11" s="15" customFormat="1" ht="26.25" customHeight="1" x14ac:dyDescent="0.2">
      <c r="A40" s="69">
        <v>29</v>
      </c>
      <c r="B40" s="69">
        <v>32400000</v>
      </c>
      <c r="C40" s="69" t="s">
        <v>44</v>
      </c>
      <c r="D40" s="12">
        <v>5000</v>
      </c>
      <c r="E40" s="69" t="s">
        <v>23</v>
      </c>
      <c r="F40" s="37" t="s">
        <v>18</v>
      </c>
      <c r="G40" s="37" t="s">
        <v>19</v>
      </c>
      <c r="H40" s="38"/>
      <c r="I40" s="83"/>
      <c r="J40" s="84"/>
      <c r="K40" s="85"/>
    </row>
    <row r="41" spans="1:11" s="15" customFormat="1" ht="25.5" customHeight="1" x14ac:dyDescent="0.2">
      <c r="A41" s="69">
        <v>30</v>
      </c>
      <c r="B41" s="69">
        <v>32500000</v>
      </c>
      <c r="C41" s="69" t="s">
        <v>45</v>
      </c>
      <c r="D41" s="12">
        <v>1000</v>
      </c>
      <c r="E41" s="69" t="s">
        <v>23</v>
      </c>
      <c r="F41" s="37" t="s">
        <v>18</v>
      </c>
      <c r="G41" s="37" t="s">
        <v>19</v>
      </c>
      <c r="H41" s="38"/>
      <c r="I41" s="83"/>
      <c r="J41" s="84"/>
      <c r="K41" s="85"/>
    </row>
    <row r="42" spans="1:11" s="15" customFormat="1" ht="25.5" customHeight="1" x14ac:dyDescent="0.2">
      <c r="A42" s="69">
        <v>31</v>
      </c>
      <c r="B42" s="69">
        <v>33100000</v>
      </c>
      <c r="C42" s="69" t="s">
        <v>46</v>
      </c>
      <c r="D42" s="12">
        <v>7100</v>
      </c>
      <c r="E42" s="69" t="s">
        <v>23</v>
      </c>
      <c r="F42" s="37" t="s">
        <v>18</v>
      </c>
      <c r="G42" s="37" t="s">
        <v>19</v>
      </c>
      <c r="H42" s="40"/>
      <c r="I42" s="94"/>
    </row>
    <row r="43" spans="1:11" s="3" customFormat="1" ht="33.75" customHeight="1" x14ac:dyDescent="0.2">
      <c r="A43" s="69">
        <v>32</v>
      </c>
      <c r="B43" s="69">
        <v>34100000</v>
      </c>
      <c r="C43" s="69" t="s">
        <v>47</v>
      </c>
      <c r="D43" s="95">
        <f>4885871.99-488000</f>
        <v>4397871.99</v>
      </c>
      <c r="E43" s="69" t="s">
        <v>32</v>
      </c>
      <c r="F43" s="37" t="s">
        <v>18</v>
      </c>
      <c r="G43" s="37" t="s">
        <v>19</v>
      </c>
      <c r="H43" s="38"/>
      <c r="I43" s="96"/>
      <c r="J43" s="70"/>
    </row>
    <row r="44" spans="1:11" s="15" customFormat="1" ht="38.25" customHeight="1" x14ac:dyDescent="0.2">
      <c r="A44" s="69">
        <v>33</v>
      </c>
      <c r="B44" s="69">
        <v>34300000</v>
      </c>
      <c r="C44" s="69" t="s">
        <v>48</v>
      </c>
      <c r="D44" s="12">
        <f>209464+4257</f>
        <v>213721</v>
      </c>
      <c r="E44" s="69" t="s">
        <v>17</v>
      </c>
      <c r="F44" s="37" t="s">
        <v>18</v>
      </c>
      <c r="G44" s="37" t="s">
        <v>19</v>
      </c>
      <c r="H44" s="38" t="s">
        <v>20</v>
      </c>
      <c r="I44" s="83"/>
      <c r="J44" s="84"/>
      <c r="K44" s="85"/>
    </row>
    <row r="45" spans="1:11" s="3" customFormat="1" ht="33.75" customHeight="1" x14ac:dyDescent="0.2">
      <c r="A45" s="69">
        <v>34</v>
      </c>
      <c r="B45" s="69">
        <v>34700000</v>
      </c>
      <c r="C45" s="69" t="s">
        <v>161</v>
      </c>
      <c r="D45" s="20">
        <v>336000</v>
      </c>
      <c r="E45" s="69" t="s">
        <v>32</v>
      </c>
      <c r="F45" s="37" t="s">
        <v>150</v>
      </c>
      <c r="G45" s="37" t="s">
        <v>151</v>
      </c>
      <c r="H45" s="38"/>
      <c r="I45" s="96"/>
      <c r="J45" s="70"/>
    </row>
    <row r="46" spans="1:11" s="3" customFormat="1" ht="35.25" customHeight="1" x14ac:dyDescent="0.2">
      <c r="A46" s="69">
        <v>35</v>
      </c>
      <c r="B46" s="69">
        <v>34900000</v>
      </c>
      <c r="C46" s="69" t="s">
        <v>49</v>
      </c>
      <c r="D46" s="20">
        <v>5000</v>
      </c>
      <c r="E46" s="69" t="s">
        <v>23</v>
      </c>
      <c r="F46" s="37" t="s">
        <v>25</v>
      </c>
      <c r="G46" s="37" t="s">
        <v>26</v>
      </c>
      <c r="H46" s="38"/>
      <c r="I46" s="83"/>
      <c r="J46" s="70"/>
    </row>
    <row r="47" spans="1:11" s="3" customFormat="1" ht="36.75" customHeight="1" x14ac:dyDescent="0.2">
      <c r="A47" s="69">
        <v>36</v>
      </c>
      <c r="B47" s="69">
        <v>35100000</v>
      </c>
      <c r="C47" s="69" t="s">
        <v>50</v>
      </c>
      <c r="D47" s="12">
        <f>6022-6022</f>
        <v>0</v>
      </c>
      <c r="E47" s="69" t="s">
        <v>32</v>
      </c>
      <c r="F47" s="37" t="s">
        <v>18</v>
      </c>
      <c r="G47" s="37" t="s">
        <v>19</v>
      </c>
      <c r="H47" s="69"/>
      <c r="I47" s="86"/>
      <c r="J47" s="86"/>
    </row>
    <row r="48" spans="1:11" s="15" customFormat="1" ht="36" customHeight="1" x14ac:dyDescent="0.2">
      <c r="A48" s="69">
        <v>37</v>
      </c>
      <c r="B48" s="69">
        <v>37400000</v>
      </c>
      <c r="C48" s="69" t="s">
        <v>162</v>
      </c>
      <c r="D48" s="12">
        <v>320</v>
      </c>
      <c r="E48" s="69" t="s">
        <v>23</v>
      </c>
      <c r="F48" s="37" t="s">
        <v>150</v>
      </c>
      <c r="G48" s="37" t="s">
        <v>151</v>
      </c>
      <c r="H48" s="38"/>
      <c r="I48" s="90"/>
      <c r="J48" s="85"/>
    </row>
    <row r="49" spans="1:13" s="3" customFormat="1" ht="33.75" customHeight="1" x14ac:dyDescent="0.2">
      <c r="A49" s="69">
        <v>38</v>
      </c>
      <c r="B49" s="69">
        <v>38100000</v>
      </c>
      <c r="C49" s="69" t="s">
        <v>163</v>
      </c>
      <c r="D49" s="20">
        <v>65000</v>
      </c>
      <c r="E49" s="69" t="s">
        <v>32</v>
      </c>
      <c r="F49" s="37" t="s">
        <v>150</v>
      </c>
      <c r="G49" s="37" t="s">
        <v>151</v>
      </c>
      <c r="H49" s="38"/>
      <c r="I49" s="96"/>
      <c r="J49" s="70"/>
    </row>
    <row r="50" spans="1:13" s="3" customFormat="1" ht="33.75" customHeight="1" x14ac:dyDescent="0.2">
      <c r="A50" s="69">
        <v>39</v>
      </c>
      <c r="B50" s="69">
        <v>38600000</v>
      </c>
      <c r="C50" s="69" t="s">
        <v>51</v>
      </c>
      <c r="D50" s="12">
        <v>141228</v>
      </c>
      <c r="E50" s="69" t="s">
        <v>32</v>
      </c>
      <c r="F50" s="37" t="s">
        <v>25</v>
      </c>
      <c r="G50" s="37" t="s">
        <v>26</v>
      </c>
      <c r="H50" s="41"/>
      <c r="I50" s="87"/>
    </row>
    <row r="51" spans="1:13" s="3" customFormat="1" ht="24" customHeight="1" x14ac:dyDescent="0.2">
      <c r="A51" s="69">
        <v>40</v>
      </c>
      <c r="B51" s="129">
        <v>39100000</v>
      </c>
      <c r="C51" s="129" t="s">
        <v>52</v>
      </c>
      <c r="D51" s="12">
        <f>36000+9760</f>
        <v>45760</v>
      </c>
      <c r="E51" s="69" t="s">
        <v>17</v>
      </c>
      <c r="F51" s="37" t="s">
        <v>18</v>
      </c>
      <c r="G51" s="37" t="s">
        <v>19</v>
      </c>
      <c r="H51" s="38" t="s">
        <v>20</v>
      </c>
      <c r="I51" s="83"/>
      <c r="J51" s="83"/>
      <c r="K51" s="71"/>
      <c r="M51" s="73"/>
    </row>
    <row r="52" spans="1:13" s="3" customFormat="1" ht="33" customHeight="1" x14ac:dyDescent="0.2">
      <c r="A52" s="69">
        <v>41</v>
      </c>
      <c r="B52" s="129"/>
      <c r="C52" s="129"/>
      <c r="D52" s="12">
        <f>8160-5000</f>
        <v>3160</v>
      </c>
      <c r="E52" s="69" t="s">
        <v>23</v>
      </c>
      <c r="F52" s="37" t="s">
        <v>18</v>
      </c>
      <c r="G52" s="37" t="s">
        <v>19</v>
      </c>
      <c r="H52" s="38"/>
      <c r="I52" s="83"/>
      <c r="J52" s="83"/>
      <c r="K52" s="71"/>
      <c r="M52" s="73"/>
    </row>
    <row r="53" spans="1:13" s="3" customFormat="1" ht="33" customHeight="1" x14ac:dyDescent="0.2">
      <c r="A53" s="69">
        <v>42</v>
      </c>
      <c r="B53" s="129"/>
      <c r="C53" s="129"/>
      <c r="D53" s="20">
        <f>1740+4280</f>
        <v>6020</v>
      </c>
      <c r="E53" s="69" t="s">
        <v>23</v>
      </c>
      <c r="F53" s="37" t="s">
        <v>150</v>
      </c>
      <c r="G53" s="37" t="s">
        <v>151</v>
      </c>
      <c r="H53" s="38"/>
      <c r="I53" s="83"/>
      <c r="J53" s="83"/>
      <c r="K53" s="71"/>
      <c r="M53" s="73"/>
    </row>
    <row r="54" spans="1:13" s="3" customFormat="1" ht="32.25" customHeight="1" x14ac:dyDescent="0.2">
      <c r="A54" s="69">
        <v>43</v>
      </c>
      <c r="B54" s="69">
        <v>39200000</v>
      </c>
      <c r="C54" s="69" t="s">
        <v>53</v>
      </c>
      <c r="D54" s="12">
        <v>8000</v>
      </c>
      <c r="E54" s="69" t="s">
        <v>23</v>
      </c>
      <c r="F54" s="37" t="s">
        <v>18</v>
      </c>
      <c r="G54" s="37" t="s">
        <v>19</v>
      </c>
      <c r="H54" s="69"/>
      <c r="I54" s="83"/>
      <c r="J54" s="83"/>
      <c r="K54" s="70"/>
    </row>
    <row r="55" spans="1:13" s="15" customFormat="1" ht="37.5" customHeight="1" x14ac:dyDescent="0.2">
      <c r="A55" s="69">
        <v>44</v>
      </c>
      <c r="B55" s="69">
        <v>39500000</v>
      </c>
      <c r="C55" s="69" t="s">
        <v>124</v>
      </c>
      <c r="D55" s="12">
        <v>400</v>
      </c>
      <c r="E55" s="69" t="s">
        <v>23</v>
      </c>
      <c r="F55" s="37" t="s">
        <v>150</v>
      </c>
      <c r="G55" s="37" t="s">
        <v>151</v>
      </c>
      <c r="H55" s="69"/>
      <c r="I55" s="92"/>
    </row>
    <row r="56" spans="1:13" s="3" customFormat="1" ht="33.75" customHeight="1" x14ac:dyDescent="0.2">
      <c r="A56" s="69">
        <v>45</v>
      </c>
      <c r="B56" s="69">
        <v>39700000</v>
      </c>
      <c r="C56" s="69" t="s">
        <v>125</v>
      </c>
      <c r="D56" s="12">
        <v>500</v>
      </c>
      <c r="E56" s="69" t="s">
        <v>23</v>
      </c>
      <c r="F56" s="37" t="s">
        <v>150</v>
      </c>
      <c r="G56" s="37" t="s">
        <v>151</v>
      </c>
      <c r="H56" s="69"/>
      <c r="I56" s="92"/>
    </row>
    <row r="57" spans="1:13" s="3" customFormat="1" ht="35.25" customHeight="1" x14ac:dyDescent="0.2">
      <c r="A57" s="69">
        <v>46</v>
      </c>
      <c r="B57" s="69">
        <v>42400000</v>
      </c>
      <c r="C57" s="69" t="s">
        <v>54</v>
      </c>
      <c r="D57" s="20">
        <f>16000+1350</f>
        <v>17350</v>
      </c>
      <c r="E57" s="69" t="s">
        <v>32</v>
      </c>
      <c r="F57" s="37" t="s">
        <v>18</v>
      </c>
      <c r="G57" s="37" t="s">
        <v>19</v>
      </c>
      <c r="H57" s="38"/>
      <c r="I57" s="90"/>
    </row>
    <row r="58" spans="1:13" s="15" customFormat="1" ht="33.75" customHeight="1" x14ac:dyDescent="0.2">
      <c r="A58" s="69">
        <v>47</v>
      </c>
      <c r="B58" s="69">
        <v>42500000</v>
      </c>
      <c r="C58" s="69" t="s">
        <v>55</v>
      </c>
      <c r="D58" s="20">
        <f>9200+206</f>
        <v>9406</v>
      </c>
      <c r="E58" s="69" t="s">
        <v>23</v>
      </c>
      <c r="F58" s="37" t="s">
        <v>18</v>
      </c>
      <c r="G58" s="37" t="s">
        <v>19</v>
      </c>
      <c r="H58" s="38"/>
      <c r="I58" s="96"/>
      <c r="J58" s="85"/>
    </row>
    <row r="59" spans="1:13" s="15" customFormat="1" ht="27" customHeight="1" x14ac:dyDescent="0.2">
      <c r="A59" s="69">
        <v>48</v>
      </c>
      <c r="B59" s="69">
        <v>42600000</v>
      </c>
      <c r="C59" s="69" t="s">
        <v>56</v>
      </c>
      <c r="D59" s="12">
        <v>9900</v>
      </c>
      <c r="E59" s="69" t="s">
        <v>23</v>
      </c>
      <c r="F59" s="37" t="s">
        <v>18</v>
      </c>
      <c r="G59" s="37" t="s">
        <v>19</v>
      </c>
      <c r="H59" s="38"/>
      <c r="I59" s="96"/>
      <c r="J59" s="89"/>
    </row>
    <row r="60" spans="1:13" s="3" customFormat="1" ht="23.25" customHeight="1" x14ac:dyDescent="0.2">
      <c r="A60" s="69">
        <v>49</v>
      </c>
      <c r="B60" s="135">
        <v>42900000</v>
      </c>
      <c r="C60" s="129" t="s">
        <v>57</v>
      </c>
      <c r="D60" s="12">
        <f>10000+17414</f>
        <v>27414</v>
      </c>
      <c r="E60" s="69" t="s">
        <v>17</v>
      </c>
      <c r="F60" s="37" t="s">
        <v>18</v>
      </c>
      <c r="G60" s="37" t="s">
        <v>19</v>
      </c>
      <c r="H60" s="38"/>
      <c r="I60" s="92"/>
      <c r="J60" s="70"/>
    </row>
    <row r="61" spans="1:13" s="3" customFormat="1" ht="24.75" customHeight="1" x14ac:dyDescent="0.2">
      <c r="A61" s="69">
        <v>50</v>
      </c>
      <c r="B61" s="135"/>
      <c r="C61" s="129"/>
      <c r="D61" s="20">
        <f>36000+335</f>
        <v>36335</v>
      </c>
      <c r="E61" s="69" t="s">
        <v>32</v>
      </c>
      <c r="F61" s="37" t="s">
        <v>18</v>
      </c>
      <c r="G61" s="37" t="s">
        <v>19</v>
      </c>
      <c r="H61" s="38"/>
      <c r="I61" s="96"/>
      <c r="J61" s="70"/>
    </row>
    <row r="62" spans="1:13" s="15" customFormat="1" ht="27" customHeight="1" x14ac:dyDescent="0.2">
      <c r="A62" s="69">
        <v>51</v>
      </c>
      <c r="B62" s="129">
        <v>44100000</v>
      </c>
      <c r="C62" s="129" t="s">
        <v>58</v>
      </c>
      <c r="D62" s="12">
        <v>3000</v>
      </c>
      <c r="E62" s="69" t="s">
        <v>23</v>
      </c>
      <c r="F62" s="37" t="s">
        <v>18</v>
      </c>
      <c r="G62" s="37" t="s">
        <v>19</v>
      </c>
      <c r="H62" s="38"/>
      <c r="I62" s="91"/>
    </row>
    <row r="63" spans="1:13" s="15" customFormat="1" ht="28.5" customHeight="1" x14ac:dyDescent="0.2">
      <c r="A63" s="69">
        <v>52</v>
      </c>
      <c r="B63" s="129"/>
      <c r="C63" s="129"/>
      <c r="D63" s="20">
        <v>6500</v>
      </c>
      <c r="E63" s="69" t="s">
        <v>23</v>
      </c>
      <c r="F63" s="37" t="s">
        <v>150</v>
      </c>
      <c r="G63" s="37" t="s">
        <v>151</v>
      </c>
      <c r="H63" s="38"/>
      <c r="I63" s="4"/>
    </row>
    <row r="64" spans="1:13" s="3" customFormat="1" ht="31.5" customHeight="1" x14ac:dyDescent="0.2">
      <c r="A64" s="69">
        <v>53</v>
      </c>
      <c r="B64" s="69">
        <v>44200000</v>
      </c>
      <c r="C64" s="69" t="s">
        <v>59</v>
      </c>
      <c r="D64" s="20">
        <v>50000</v>
      </c>
      <c r="E64" s="69" t="s">
        <v>32</v>
      </c>
      <c r="F64" s="37" t="s">
        <v>18</v>
      </c>
      <c r="G64" s="37" t="s">
        <v>19</v>
      </c>
      <c r="H64" s="38"/>
      <c r="I64" s="83"/>
    </row>
    <row r="65" spans="1:11" s="3" customFormat="1" ht="33" customHeight="1" x14ac:dyDescent="0.2">
      <c r="A65" s="69">
        <v>54</v>
      </c>
      <c r="B65" s="69">
        <v>44300000</v>
      </c>
      <c r="C65" s="69" t="s">
        <v>60</v>
      </c>
      <c r="D65" s="12">
        <f>9900-220</f>
        <v>9680</v>
      </c>
      <c r="E65" s="69" t="s">
        <v>23</v>
      </c>
      <c r="F65" s="37" t="s">
        <v>18</v>
      </c>
      <c r="G65" s="37" t="s">
        <v>19</v>
      </c>
      <c r="H65" s="69"/>
      <c r="I65" s="86"/>
      <c r="J65" s="86"/>
    </row>
    <row r="66" spans="1:11" s="3" customFormat="1" ht="28.5" customHeight="1" x14ac:dyDescent="0.2">
      <c r="A66" s="69">
        <v>55</v>
      </c>
      <c r="B66" s="129">
        <v>44400000</v>
      </c>
      <c r="C66" s="129" t="s">
        <v>61</v>
      </c>
      <c r="D66" s="12">
        <f>4000-1500</f>
        <v>2500</v>
      </c>
      <c r="E66" s="69" t="s">
        <v>23</v>
      </c>
      <c r="F66" s="37" t="s">
        <v>18</v>
      </c>
      <c r="G66" s="37" t="s">
        <v>19</v>
      </c>
      <c r="H66" s="38"/>
      <c r="I66" s="92"/>
      <c r="J66" s="92"/>
      <c r="K66" s="70"/>
    </row>
    <row r="67" spans="1:11" s="3" customFormat="1" ht="28.5" customHeight="1" x14ac:dyDescent="0.2">
      <c r="A67" s="69">
        <v>56</v>
      </c>
      <c r="B67" s="129"/>
      <c r="C67" s="129"/>
      <c r="D67" s="20">
        <f>4200+2850</f>
        <v>7050</v>
      </c>
      <c r="E67" s="69" t="s">
        <v>23</v>
      </c>
      <c r="F67" s="37" t="s">
        <v>25</v>
      </c>
      <c r="G67" s="37" t="s">
        <v>26</v>
      </c>
      <c r="H67" s="38"/>
      <c r="I67" s="92"/>
      <c r="J67" s="92"/>
      <c r="K67" s="70"/>
    </row>
    <row r="68" spans="1:11" s="17" customFormat="1" ht="28.5" customHeight="1" x14ac:dyDescent="0.2">
      <c r="A68" s="69">
        <v>57</v>
      </c>
      <c r="B68" s="151">
        <v>44500000</v>
      </c>
      <c r="C68" s="129" t="s">
        <v>62</v>
      </c>
      <c r="D68" s="20">
        <f>5000+2568</f>
        <v>7568</v>
      </c>
      <c r="E68" s="69" t="s">
        <v>23</v>
      </c>
      <c r="F68" s="37" t="s">
        <v>25</v>
      </c>
      <c r="G68" s="37" t="s">
        <v>26</v>
      </c>
      <c r="H68" s="69"/>
      <c r="I68" s="87"/>
    </row>
    <row r="69" spans="1:11" s="17" customFormat="1" ht="28.5" customHeight="1" x14ac:dyDescent="0.2">
      <c r="A69" s="69">
        <v>58</v>
      </c>
      <c r="B69" s="151"/>
      <c r="C69" s="129"/>
      <c r="D69" s="12">
        <f>150+155</f>
        <v>305</v>
      </c>
      <c r="E69" s="69" t="s">
        <v>23</v>
      </c>
      <c r="F69" s="37" t="s">
        <v>150</v>
      </c>
      <c r="G69" s="37" t="s">
        <v>151</v>
      </c>
      <c r="H69" s="69"/>
      <c r="I69" s="87"/>
    </row>
    <row r="70" spans="1:11" s="15" customFormat="1" ht="35.25" customHeight="1" x14ac:dyDescent="0.2">
      <c r="A70" s="69">
        <v>59</v>
      </c>
      <c r="B70" s="69">
        <v>44800000</v>
      </c>
      <c r="C70" s="69" t="s">
        <v>63</v>
      </c>
      <c r="D70" s="12">
        <f>9900-7400</f>
        <v>2500</v>
      </c>
      <c r="E70" s="69" t="s">
        <v>23</v>
      </c>
      <c r="F70" s="37" t="s">
        <v>18</v>
      </c>
      <c r="G70" s="37" t="s">
        <v>19</v>
      </c>
      <c r="H70" s="38"/>
      <c r="I70" s="86"/>
      <c r="J70" s="84"/>
      <c r="K70" s="89"/>
    </row>
    <row r="71" spans="1:11" s="15" customFormat="1" ht="33" customHeight="1" x14ac:dyDescent="0.2">
      <c r="A71" s="69">
        <v>60</v>
      </c>
      <c r="B71" s="69">
        <v>45200000</v>
      </c>
      <c r="C71" s="69" t="s">
        <v>64</v>
      </c>
      <c r="D71" s="20">
        <f>1349809-87300</f>
        <v>1262509</v>
      </c>
      <c r="E71" s="69" t="s">
        <v>32</v>
      </c>
      <c r="F71" s="37" t="s">
        <v>18</v>
      </c>
      <c r="G71" s="37" t="s">
        <v>19</v>
      </c>
      <c r="H71" s="38"/>
      <c r="I71" s="87"/>
      <c r="J71" s="97"/>
      <c r="K71" s="85"/>
    </row>
    <row r="72" spans="1:11" s="3" customFormat="1" ht="27" customHeight="1" x14ac:dyDescent="0.2">
      <c r="A72" s="69">
        <v>61</v>
      </c>
      <c r="B72" s="69">
        <v>45300000</v>
      </c>
      <c r="C72" s="69" t="s">
        <v>65</v>
      </c>
      <c r="D72" s="95">
        <f>14816.01+500</f>
        <v>15316.01</v>
      </c>
      <c r="E72" s="69" t="s">
        <v>23</v>
      </c>
      <c r="F72" s="37" t="s">
        <v>18</v>
      </c>
      <c r="G72" s="37" t="s">
        <v>19</v>
      </c>
      <c r="H72" s="38"/>
      <c r="I72" s="92"/>
      <c r="J72" s="92"/>
      <c r="K72" s="70"/>
    </row>
    <row r="73" spans="1:11" s="17" customFormat="1" ht="28.5" customHeight="1" x14ac:dyDescent="0.2">
      <c r="A73" s="69">
        <v>62</v>
      </c>
      <c r="B73" s="69">
        <v>45400000</v>
      </c>
      <c r="C73" s="69" t="s">
        <v>66</v>
      </c>
      <c r="D73" s="20">
        <f>750900-4486</f>
        <v>746414</v>
      </c>
      <c r="E73" s="69" t="s">
        <v>32</v>
      </c>
      <c r="F73" s="37" t="s">
        <v>18</v>
      </c>
      <c r="G73" s="37" t="s">
        <v>19</v>
      </c>
      <c r="H73" s="69"/>
      <c r="I73" s="70"/>
      <c r="J73" s="85"/>
    </row>
    <row r="74" spans="1:11" s="15" customFormat="1" ht="26.25" customHeight="1" x14ac:dyDescent="0.2">
      <c r="A74" s="69">
        <v>63</v>
      </c>
      <c r="B74" s="69">
        <v>48200000</v>
      </c>
      <c r="C74" s="69" t="s">
        <v>67</v>
      </c>
      <c r="D74" s="12">
        <v>5000</v>
      </c>
      <c r="E74" s="69" t="s">
        <v>23</v>
      </c>
      <c r="F74" s="37" t="s">
        <v>18</v>
      </c>
      <c r="G74" s="37" t="s">
        <v>19</v>
      </c>
      <c r="H74" s="38"/>
      <c r="I74" s="92"/>
      <c r="J74" s="98"/>
      <c r="K74" s="89"/>
    </row>
    <row r="75" spans="1:11" s="15" customFormat="1" ht="24" customHeight="1" x14ac:dyDescent="0.2">
      <c r="A75" s="69">
        <v>64</v>
      </c>
      <c r="B75" s="129">
        <v>48600000</v>
      </c>
      <c r="C75" s="129" t="s">
        <v>68</v>
      </c>
      <c r="D75" s="12">
        <f>8250-3250</f>
        <v>5000</v>
      </c>
      <c r="E75" s="69" t="s">
        <v>23</v>
      </c>
      <c r="F75" s="37" t="s">
        <v>18</v>
      </c>
      <c r="G75" s="37" t="s">
        <v>19</v>
      </c>
      <c r="H75" s="38" t="s">
        <v>69</v>
      </c>
      <c r="I75" s="92"/>
      <c r="J75" s="98"/>
      <c r="K75" s="89"/>
    </row>
    <row r="76" spans="1:11" s="15" customFormat="1" ht="24.75" customHeight="1" x14ac:dyDescent="0.2">
      <c r="A76" s="69">
        <v>65</v>
      </c>
      <c r="B76" s="129"/>
      <c r="C76" s="129"/>
      <c r="D76" s="12">
        <v>3000</v>
      </c>
      <c r="E76" s="69" t="s">
        <v>23</v>
      </c>
      <c r="F76" s="37" t="s">
        <v>18</v>
      </c>
      <c r="G76" s="37" t="s">
        <v>19</v>
      </c>
      <c r="H76" s="38"/>
      <c r="I76" s="92"/>
      <c r="J76" s="98"/>
      <c r="K76" s="89"/>
    </row>
    <row r="77" spans="1:11" s="3" customFormat="1" ht="29.25" customHeight="1" x14ac:dyDescent="0.2">
      <c r="A77" s="69">
        <v>66</v>
      </c>
      <c r="B77" s="129">
        <v>50100000</v>
      </c>
      <c r="C77" s="129" t="s">
        <v>70</v>
      </c>
      <c r="D77" s="12">
        <f>780000-50000</f>
        <v>730000</v>
      </c>
      <c r="E77" s="69" t="s">
        <v>32</v>
      </c>
      <c r="F77" s="37" t="s">
        <v>18</v>
      </c>
      <c r="G77" s="37" t="s">
        <v>19</v>
      </c>
      <c r="H77" s="42"/>
      <c r="I77" s="83"/>
      <c r="J77" s="83">
        <f>211000-330000</f>
        <v>-119000</v>
      </c>
      <c r="K77" s="83">
        <f>330000+40000+20000</f>
        <v>390000</v>
      </c>
    </row>
    <row r="78" spans="1:11" s="3" customFormat="1" ht="30.75" customHeight="1" x14ac:dyDescent="0.2">
      <c r="A78" s="69">
        <v>67</v>
      </c>
      <c r="B78" s="129"/>
      <c r="C78" s="129"/>
      <c r="D78" s="12">
        <f>176300+16800</f>
        <v>193100</v>
      </c>
      <c r="E78" s="69" t="s">
        <v>23</v>
      </c>
      <c r="F78" s="37" t="s">
        <v>18</v>
      </c>
      <c r="G78" s="37" t="s">
        <v>19</v>
      </c>
      <c r="H78" s="38" t="s">
        <v>71</v>
      </c>
      <c r="I78" s="83"/>
      <c r="J78" s="83">
        <v>65000</v>
      </c>
      <c r="K78" s="83"/>
    </row>
    <row r="79" spans="1:11" s="3" customFormat="1" ht="28.5" customHeight="1" x14ac:dyDescent="0.2">
      <c r="A79" s="69">
        <v>68</v>
      </c>
      <c r="B79" s="129"/>
      <c r="C79" s="129"/>
      <c r="D79" s="12">
        <f>134900-16874</f>
        <v>118026</v>
      </c>
      <c r="E79" s="69" t="s">
        <v>17</v>
      </c>
      <c r="F79" s="37" t="s">
        <v>18</v>
      </c>
      <c r="G79" s="37" t="s">
        <v>19</v>
      </c>
      <c r="H79" s="38" t="s">
        <v>20</v>
      </c>
      <c r="I79" s="99"/>
      <c r="J79" s="100"/>
    </row>
    <row r="80" spans="1:11" s="3" customFormat="1" ht="27" customHeight="1" x14ac:dyDescent="0.2">
      <c r="A80" s="69">
        <v>69</v>
      </c>
      <c r="B80" s="129"/>
      <c r="C80" s="129"/>
      <c r="D80" s="12">
        <f>40000+22700</f>
        <v>62700</v>
      </c>
      <c r="E80" s="69" t="s">
        <v>32</v>
      </c>
      <c r="F80" s="37" t="s">
        <v>18</v>
      </c>
      <c r="G80" s="37" t="s">
        <v>19</v>
      </c>
      <c r="H80" s="38" t="s">
        <v>72</v>
      </c>
      <c r="I80" s="83"/>
      <c r="J80" s="83"/>
      <c r="K80" s="83"/>
    </row>
    <row r="81" spans="1:11" s="3" customFormat="1" ht="25.5" customHeight="1" x14ac:dyDescent="0.2">
      <c r="A81" s="69">
        <v>70</v>
      </c>
      <c r="B81" s="129"/>
      <c r="C81" s="129"/>
      <c r="D81" s="12">
        <v>5000</v>
      </c>
      <c r="E81" s="69" t="s">
        <v>32</v>
      </c>
      <c r="F81" s="37" t="s">
        <v>18</v>
      </c>
      <c r="G81" s="37" t="s">
        <v>19</v>
      </c>
      <c r="H81" s="38"/>
      <c r="I81" s="83"/>
      <c r="J81" s="83"/>
      <c r="K81" s="83"/>
    </row>
    <row r="82" spans="1:11" s="15" customFormat="1" ht="56.25" customHeight="1" x14ac:dyDescent="0.2">
      <c r="A82" s="69">
        <v>71</v>
      </c>
      <c r="B82" s="69">
        <v>50300000</v>
      </c>
      <c r="C82" s="69" t="s">
        <v>73</v>
      </c>
      <c r="D82" s="12">
        <f>10000-3078</f>
        <v>6922</v>
      </c>
      <c r="E82" s="69" t="s">
        <v>32</v>
      </c>
      <c r="F82" s="37" t="s">
        <v>18</v>
      </c>
      <c r="G82" s="37" t="s">
        <v>19</v>
      </c>
      <c r="H82" s="38"/>
      <c r="I82" s="70"/>
      <c r="J82" s="85"/>
      <c r="K82" s="89"/>
    </row>
    <row r="83" spans="1:11" s="15" customFormat="1" ht="49.5" customHeight="1" x14ac:dyDescent="0.2">
      <c r="A83" s="69">
        <v>72</v>
      </c>
      <c r="B83" s="69">
        <v>50500000</v>
      </c>
      <c r="C83" s="69" t="s">
        <v>74</v>
      </c>
      <c r="D83" s="12">
        <v>9900</v>
      </c>
      <c r="E83" s="69" t="s">
        <v>23</v>
      </c>
      <c r="F83" s="37" t="s">
        <v>18</v>
      </c>
      <c r="G83" s="37" t="s">
        <v>19</v>
      </c>
      <c r="H83" s="38"/>
      <c r="I83" s="4"/>
      <c r="J83" s="89"/>
    </row>
    <row r="84" spans="1:11" s="15" customFormat="1" ht="39" customHeight="1" x14ac:dyDescent="0.2">
      <c r="A84" s="69">
        <v>73</v>
      </c>
      <c r="B84" s="69">
        <v>50700000</v>
      </c>
      <c r="C84" s="69" t="s">
        <v>75</v>
      </c>
      <c r="D84" s="12">
        <f>25000-3000</f>
        <v>22000</v>
      </c>
      <c r="E84" s="69" t="s">
        <v>32</v>
      </c>
      <c r="F84" s="37" t="s">
        <v>18</v>
      </c>
      <c r="G84" s="37" t="s">
        <v>19</v>
      </c>
      <c r="H84" s="38"/>
      <c r="I84" s="70"/>
      <c r="J84" s="85"/>
      <c r="K84" s="89"/>
    </row>
    <row r="85" spans="1:11" s="23" customFormat="1" ht="30.75" customHeight="1" x14ac:dyDescent="0.2">
      <c r="A85" s="69">
        <v>74</v>
      </c>
      <c r="B85" s="129">
        <v>55300000</v>
      </c>
      <c r="C85" s="129" t="s">
        <v>76</v>
      </c>
      <c r="D85" s="12">
        <v>10000</v>
      </c>
      <c r="E85" s="69" t="s">
        <v>23</v>
      </c>
      <c r="F85" s="37" t="s">
        <v>18</v>
      </c>
      <c r="G85" s="37" t="s">
        <v>19</v>
      </c>
      <c r="H85" s="38" t="s">
        <v>28</v>
      </c>
      <c r="I85" s="70"/>
    </row>
    <row r="86" spans="1:11" s="23" customFormat="1" ht="36.75" customHeight="1" x14ac:dyDescent="0.2">
      <c r="A86" s="69">
        <v>75</v>
      </c>
      <c r="B86" s="129"/>
      <c r="C86" s="129"/>
      <c r="D86" s="12">
        <v>9000</v>
      </c>
      <c r="E86" s="69" t="s">
        <v>23</v>
      </c>
      <c r="F86" s="37" t="s">
        <v>18</v>
      </c>
      <c r="G86" s="37" t="s">
        <v>19</v>
      </c>
      <c r="H86" s="38"/>
      <c r="I86" s="70"/>
    </row>
    <row r="87" spans="1:11" s="15" customFormat="1" ht="36" customHeight="1" x14ac:dyDescent="0.2">
      <c r="A87" s="69">
        <v>76</v>
      </c>
      <c r="B87" s="69">
        <v>60100000</v>
      </c>
      <c r="C87" s="69" t="s">
        <v>77</v>
      </c>
      <c r="D87" s="12">
        <v>9900</v>
      </c>
      <c r="E87" s="69" t="s">
        <v>23</v>
      </c>
      <c r="F87" s="37" t="s">
        <v>18</v>
      </c>
      <c r="G87" s="37" t="s">
        <v>19</v>
      </c>
      <c r="H87" s="38"/>
      <c r="I87" s="86"/>
      <c r="J87" s="84"/>
      <c r="K87" s="89"/>
    </row>
    <row r="88" spans="1:11" s="15" customFormat="1" ht="36" customHeight="1" x14ac:dyDescent="0.2">
      <c r="A88" s="69">
        <v>77</v>
      </c>
      <c r="B88" s="69">
        <v>63100000</v>
      </c>
      <c r="C88" s="69" t="s">
        <v>78</v>
      </c>
      <c r="D88" s="12">
        <f>29370-9209</f>
        <v>20161</v>
      </c>
      <c r="E88" s="69" t="s">
        <v>32</v>
      </c>
      <c r="F88" s="37" t="s">
        <v>18</v>
      </c>
      <c r="G88" s="37" t="s">
        <v>19</v>
      </c>
      <c r="H88" s="38"/>
      <c r="I88" s="83"/>
      <c r="J88" s="84"/>
      <c r="K88" s="89"/>
    </row>
    <row r="89" spans="1:11" s="4" customFormat="1" ht="26.25" customHeight="1" x14ac:dyDescent="0.2">
      <c r="A89" s="69">
        <v>78</v>
      </c>
      <c r="B89" s="129">
        <v>63700000</v>
      </c>
      <c r="C89" s="129" t="s">
        <v>79</v>
      </c>
      <c r="D89" s="12">
        <v>22567</v>
      </c>
      <c r="E89" s="69" t="s">
        <v>32</v>
      </c>
      <c r="F89" s="37" t="s">
        <v>18</v>
      </c>
      <c r="G89" s="37" t="s">
        <v>19</v>
      </c>
      <c r="H89" s="42"/>
      <c r="I89" s="70"/>
      <c r="J89" s="70"/>
    </row>
    <row r="90" spans="1:11" s="4" customFormat="1" ht="26.25" customHeight="1" x14ac:dyDescent="0.2">
      <c r="A90" s="69">
        <v>79</v>
      </c>
      <c r="B90" s="129"/>
      <c r="C90" s="129"/>
      <c r="D90" s="20">
        <f>1100+4950</f>
        <v>6050</v>
      </c>
      <c r="E90" s="69" t="s">
        <v>32</v>
      </c>
      <c r="F90" s="37" t="s">
        <v>18</v>
      </c>
      <c r="G90" s="37" t="s">
        <v>19</v>
      </c>
      <c r="H90" s="42"/>
      <c r="I90" s="70"/>
      <c r="J90" s="70"/>
    </row>
    <row r="91" spans="1:11" s="23" customFormat="1" ht="33.75" customHeight="1" x14ac:dyDescent="0.2">
      <c r="A91" s="69">
        <v>80</v>
      </c>
      <c r="B91" s="69">
        <v>64100000</v>
      </c>
      <c r="C91" s="69" t="s">
        <v>80</v>
      </c>
      <c r="D91" s="12">
        <f>27000+2548</f>
        <v>29548</v>
      </c>
      <c r="E91" s="69" t="s">
        <v>32</v>
      </c>
      <c r="F91" s="37" t="s">
        <v>18</v>
      </c>
      <c r="G91" s="37" t="s">
        <v>19</v>
      </c>
      <c r="H91" s="38"/>
      <c r="I91" s="83"/>
      <c r="J91" s="84"/>
    </row>
    <row r="92" spans="1:11" s="3" customFormat="1" ht="30" customHeight="1" x14ac:dyDescent="0.2">
      <c r="A92" s="69">
        <v>81</v>
      </c>
      <c r="B92" s="129">
        <v>64200000</v>
      </c>
      <c r="C92" s="129" t="s">
        <v>81</v>
      </c>
      <c r="D92" s="12">
        <f>42000-2000</f>
        <v>40000</v>
      </c>
      <c r="E92" s="69" t="s">
        <v>17</v>
      </c>
      <c r="F92" s="37" t="s">
        <v>18</v>
      </c>
      <c r="G92" s="37" t="s">
        <v>19</v>
      </c>
      <c r="H92" s="38" t="s">
        <v>20</v>
      </c>
      <c r="I92" s="70"/>
      <c r="J92" s="70"/>
      <c r="K92" s="70"/>
    </row>
    <row r="93" spans="1:11" s="3" customFormat="1" ht="29.25" customHeight="1" x14ac:dyDescent="0.2">
      <c r="A93" s="69">
        <v>82</v>
      </c>
      <c r="B93" s="129"/>
      <c r="C93" s="129"/>
      <c r="D93" s="12">
        <v>850</v>
      </c>
      <c r="E93" s="69" t="s">
        <v>23</v>
      </c>
      <c r="F93" s="37" t="s">
        <v>18</v>
      </c>
      <c r="G93" s="37" t="s">
        <v>19</v>
      </c>
      <c r="H93" s="38" t="s">
        <v>82</v>
      </c>
      <c r="I93" s="70"/>
      <c r="J93" s="70"/>
      <c r="K93" s="70"/>
    </row>
    <row r="94" spans="1:11" s="3" customFormat="1" ht="31.5" customHeight="1" x14ac:dyDescent="0.2">
      <c r="A94" s="69">
        <v>83</v>
      </c>
      <c r="B94" s="129"/>
      <c r="C94" s="129"/>
      <c r="D94" s="12">
        <v>1300</v>
      </c>
      <c r="E94" s="69" t="s">
        <v>23</v>
      </c>
      <c r="F94" s="37" t="s">
        <v>18</v>
      </c>
      <c r="G94" s="37" t="s">
        <v>19</v>
      </c>
      <c r="H94" s="38"/>
      <c r="I94" s="92"/>
      <c r="J94" s="92"/>
      <c r="K94" s="70"/>
    </row>
    <row r="95" spans="1:11" s="3" customFormat="1" ht="33" customHeight="1" x14ac:dyDescent="0.2">
      <c r="A95" s="69">
        <v>84</v>
      </c>
      <c r="B95" s="129"/>
      <c r="C95" s="129"/>
      <c r="D95" s="12">
        <f>20000-5000</f>
        <v>15000</v>
      </c>
      <c r="E95" s="69" t="s">
        <v>23</v>
      </c>
      <c r="F95" s="37" t="s">
        <v>18</v>
      </c>
      <c r="G95" s="37" t="s">
        <v>19</v>
      </c>
      <c r="H95" s="38" t="s">
        <v>83</v>
      </c>
      <c r="I95" s="70"/>
      <c r="J95" s="70"/>
    </row>
    <row r="96" spans="1:11" s="3" customFormat="1" ht="33.75" customHeight="1" x14ac:dyDescent="0.2">
      <c r="A96" s="69">
        <v>85</v>
      </c>
      <c r="B96" s="154">
        <v>65300000</v>
      </c>
      <c r="C96" s="154" t="s">
        <v>164</v>
      </c>
      <c r="D96" s="12">
        <v>700</v>
      </c>
      <c r="E96" s="69" t="s">
        <v>23</v>
      </c>
      <c r="F96" s="37" t="s">
        <v>150</v>
      </c>
      <c r="G96" s="37" t="s">
        <v>151</v>
      </c>
      <c r="H96" s="69"/>
      <c r="I96" s="93"/>
    </row>
    <row r="97" spans="1:13" s="3" customFormat="1" ht="33.75" customHeight="1" x14ac:dyDescent="0.2">
      <c r="A97" s="69">
        <v>86</v>
      </c>
      <c r="B97" s="155"/>
      <c r="C97" s="155"/>
      <c r="D97" s="20">
        <v>700</v>
      </c>
      <c r="E97" s="69" t="s">
        <v>23</v>
      </c>
      <c r="F97" s="37" t="s">
        <v>150</v>
      </c>
      <c r="G97" s="37" t="s">
        <v>151</v>
      </c>
      <c r="H97" s="69"/>
      <c r="I97" s="93"/>
    </row>
    <row r="98" spans="1:13" s="3" customFormat="1" ht="36.75" customHeight="1" x14ac:dyDescent="0.2">
      <c r="A98" s="69">
        <v>87</v>
      </c>
      <c r="B98" s="129">
        <v>66500000</v>
      </c>
      <c r="C98" s="129" t="s">
        <v>84</v>
      </c>
      <c r="D98" s="43">
        <f>300000-22563</f>
        <v>277437</v>
      </c>
      <c r="E98" s="69" t="s">
        <v>32</v>
      </c>
      <c r="F98" s="37" t="s">
        <v>18</v>
      </c>
      <c r="G98" s="37" t="s">
        <v>19</v>
      </c>
      <c r="H98" s="38"/>
      <c r="I98" s="83"/>
      <c r="J98" s="83"/>
      <c r="K98" s="71"/>
    </row>
    <row r="99" spans="1:13" s="3" customFormat="1" ht="36.75" customHeight="1" x14ac:dyDescent="0.2">
      <c r="A99" s="69">
        <v>88</v>
      </c>
      <c r="B99" s="129"/>
      <c r="C99" s="129"/>
      <c r="D99" s="43">
        <v>22563</v>
      </c>
      <c r="E99" s="69" t="s">
        <v>23</v>
      </c>
      <c r="F99" s="37" t="s">
        <v>18</v>
      </c>
      <c r="G99" s="37" t="s">
        <v>19</v>
      </c>
      <c r="H99" s="38" t="s">
        <v>33</v>
      </c>
      <c r="I99" s="83"/>
      <c r="J99" s="83"/>
      <c r="K99" s="71"/>
    </row>
    <row r="100" spans="1:13" s="3" customFormat="1" ht="40.5" customHeight="1" x14ac:dyDescent="0.2">
      <c r="A100" s="69">
        <v>89</v>
      </c>
      <c r="B100" s="69">
        <v>71200000</v>
      </c>
      <c r="C100" s="69" t="s">
        <v>133</v>
      </c>
      <c r="D100" s="20">
        <f>28000-28000</f>
        <v>0</v>
      </c>
      <c r="E100" s="69" t="s">
        <v>32</v>
      </c>
      <c r="F100" s="37" t="s">
        <v>150</v>
      </c>
      <c r="G100" s="37" t="s">
        <v>151</v>
      </c>
      <c r="H100" s="40"/>
      <c r="I100" s="83"/>
    </row>
    <row r="101" spans="1:13" s="15" customFormat="1" ht="38.25" customHeight="1" x14ac:dyDescent="0.2">
      <c r="A101" s="69">
        <v>90</v>
      </c>
      <c r="B101" s="129">
        <v>72200000</v>
      </c>
      <c r="C101" s="129" t="s">
        <v>85</v>
      </c>
      <c r="D101" s="12">
        <f>397000-20624</f>
        <v>376376</v>
      </c>
      <c r="E101" s="69" t="s">
        <v>23</v>
      </c>
      <c r="F101" s="37" t="s">
        <v>18</v>
      </c>
      <c r="G101" s="37" t="s">
        <v>19</v>
      </c>
      <c r="H101" s="38" t="s">
        <v>69</v>
      </c>
      <c r="I101" s="92"/>
      <c r="J101" s="98"/>
      <c r="K101" s="85"/>
    </row>
    <row r="102" spans="1:13" s="15" customFormat="1" ht="30.75" customHeight="1" x14ac:dyDescent="0.2">
      <c r="A102" s="69">
        <v>91</v>
      </c>
      <c r="B102" s="129"/>
      <c r="C102" s="129"/>
      <c r="D102" s="12">
        <v>5000</v>
      </c>
      <c r="E102" s="69" t="s">
        <v>23</v>
      </c>
      <c r="F102" s="37" t="s">
        <v>18</v>
      </c>
      <c r="G102" s="37" t="s">
        <v>19</v>
      </c>
      <c r="H102" s="38" t="s">
        <v>86</v>
      </c>
      <c r="I102" s="92"/>
      <c r="J102" s="98"/>
      <c r="K102" s="85"/>
    </row>
    <row r="103" spans="1:13" s="15" customFormat="1" ht="31.5" customHeight="1" x14ac:dyDescent="0.2">
      <c r="A103" s="69">
        <v>92</v>
      </c>
      <c r="B103" s="69">
        <v>72400000</v>
      </c>
      <c r="C103" s="69" t="s">
        <v>87</v>
      </c>
      <c r="D103" s="12">
        <f>356944+3745</f>
        <v>360689</v>
      </c>
      <c r="E103" s="69" t="s">
        <v>88</v>
      </c>
      <c r="F103" s="37" t="s">
        <v>18</v>
      </c>
      <c r="G103" s="37" t="s">
        <v>19</v>
      </c>
      <c r="H103" s="38" t="s">
        <v>86</v>
      </c>
      <c r="I103" s="70"/>
      <c r="J103" s="85"/>
      <c r="K103" s="85"/>
    </row>
    <row r="104" spans="1:13" s="15" customFormat="1" ht="31.5" customHeight="1" x14ac:dyDescent="0.2">
      <c r="A104" s="69">
        <v>93</v>
      </c>
      <c r="B104" s="69">
        <v>75100000</v>
      </c>
      <c r="C104" s="69" t="s">
        <v>89</v>
      </c>
      <c r="D104" s="12">
        <v>3200</v>
      </c>
      <c r="E104" s="69" t="s">
        <v>23</v>
      </c>
      <c r="F104" s="37" t="s">
        <v>18</v>
      </c>
      <c r="G104" s="37" t="s">
        <v>19</v>
      </c>
      <c r="H104" s="38" t="s">
        <v>69</v>
      </c>
      <c r="I104" s="70"/>
      <c r="J104" s="98"/>
      <c r="K104" s="89"/>
    </row>
    <row r="105" spans="1:13" s="3" customFormat="1" ht="35.25" customHeight="1" x14ac:dyDescent="0.2">
      <c r="A105" s="69">
        <v>94</v>
      </c>
      <c r="B105" s="69">
        <v>76400000</v>
      </c>
      <c r="C105" s="69" t="s">
        <v>90</v>
      </c>
      <c r="D105" s="20">
        <v>3000</v>
      </c>
      <c r="E105" s="69" t="s">
        <v>23</v>
      </c>
      <c r="F105" s="37" t="s">
        <v>25</v>
      </c>
      <c r="G105" s="37" t="s">
        <v>26</v>
      </c>
      <c r="H105" s="38"/>
      <c r="I105" s="83"/>
    </row>
    <row r="106" spans="1:13" s="15" customFormat="1" ht="33" customHeight="1" x14ac:dyDescent="0.2">
      <c r="A106" s="69">
        <v>95</v>
      </c>
      <c r="B106" s="69">
        <v>77200000</v>
      </c>
      <c r="C106" s="69" t="s">
        <v>91</v>
      </c>
      <c r="D106" s="12">
        <f>971500+8000</f>
        <v>979500</v>
      </c>
      <c r="E106" s="69" t="s">
        <v>32</v>
      </c>
      <c r="F106" s="37" t="s">
        <v>18</v>
      </c>
      <c r="G106" s="37" t="s">
        <v>19</v>
      </c>
      <c r="H106" s="38"/>
      <c r="I106" s="101"/>
      <c r="J106" s="98"/>
      <c r="K106" s="89"/>
    </row>
    <row r="107" spans="1:13" s="15" customFormat="1" ht="36" customHeight="1" x14ac:dyDescent="0.2">
      <c r="A107" s="69">
        <v>96</v>
      </c>
      <c r="B107" s="69">
        <v>79700000</v>
      </c>
      <c r="C107" s="69" t="s">
        <v>92</v>
      </c>
      <c r="D107" s="12">
        <f>250000+22600</f>
        <v>272600</v>
      </c>
      <c r="E107" s="69" t="s">
        <v>23</v>
      </c>
      <c r="F107" s="37" t="s">
        <v>18</v>
      </c>
      <c r="G107" s="37" t="s">
        <v>19</v>
      </c>
      <c r="H107" s="38" t="s">
        <v>82</v>
      </c>
      <c r="I107" s="70"/>
      <c r="J107" s="85">
        <v>80000</v>
      </c>
      <c r="K107" s="89"/>
    </row>
    <row r="108" spans="1:13" s="15" customFormat="1" ht="35.25" customHeight="1" x14ac:dyDescent="0.2">
      <c r="A108" s="69">
        <v>97</v>
      </c>
      <c r="B108" s="69">
        <v>79900000</v>
      </c>
      <c r="C108" s="69" t="s">
        <v>93</v>
      </c>
      <c r="D108" s="12">
        <v>9920</v>
      </c>
      <c r="E108" s="69" t="s">
        <v>23</v>
      </c>
      <c r="F108" s="37" t="s">
        <v>18</v>
      </c>
      <c r="G108" s="37" t="s">
        <v>19</v>
      </c>
      <c r="H108" s="38"/>
      <c r="I108" s="83"/>
      <c r="J108" s="84"/>
      <c r="K108" s="89"/>
    </row>
    <row r="109" spans="1:13" s="15" customFormat="1" ht="33" customHeight="1" x14ac:dyDescent="0.2">
      <c r="A109" s="69">
        <v>98</v>
      </c>
      <c r="B109" s="69">
        <v>80500000</v>
      </c>
      <c r="C109" s="69" t="s">
        <v>94</v>
      </c>
      <c r="D109" s="12">
        <f>1500+8040</f>
        <v>9540</v>
      </c>
      <c r="E109" s="69" t="s">
        <v>23</v>
      </c>
      <c r="F109" s="37" t="s">
        <v>18</v>
      </c>
      <c r="G109" s="37" t="s">
        <v>19</v>
      </c>
      <c r="H109" s="38"/>
      <c r="I109" s="4"/>
    </row>
    <row r="110" spans="1:13" s="15" customFormat="1" ht="35.25" customHeight="1" x14ac:dyDescent="0.2">
      <c r="A110" s="69">
        <v>99</v>
      </c>
      <c r="B110" s="69">
        <v>90900000</v>
      </c>
      <c r="C110" s="69" t="s">
        <v>95</v>
      </c>
      <c r="D110" s="12">
        <v>185000</v>
      </c>
      <c r="E110" s="69" t="s">
        <v>32</v>
      </c>
      <c r="F110" s="37" t="s">
        <v>18</v>
      </c>
      <c r="G110" s="37" t="s">
        <v>19</v>
      </c>
      <c r="H110" s="38"/>
      <c r="I110" s="70"/>
      <c r="J110" s="85"/>
      <c r="K110" s="89"/>
      <c r="M110" s="102"/>
    </row>
    <row r="111" spans="1:13" s="3" customFormat="1" ht="27" customHeight="1" x14ac:dyDescent="0.2">
      <c r="A111" s="69">
        <v>100</v>
      </c>
      <c r="B111" s="69">
        <v>92100000</v>
      </c>
      <c r="C111" s="69" t="s">
        <v>96</v>
      </c>
      <c r="D111" s="12">
        <f>7901+2089</f>
        <v>9990</v>
      </c>
      <c r="E111" s="69" t="s">
        <v>23</v>
      </c>
      <c r="F111" s="37" t="s">
        <v>97</v>
      </c>
      <c r="G111" s="37" t="s">
        <v>97</v>
      </c>
      <c r="H111" s="38"/>
      <c r="I111" s="83"/>
    </row>
    <row r="112" spans="1:13" s="15" customFormat="1" ht="36" customHeight="1" x14ac:dyDescent="0.2">
      <c r="A112" s="69">
        <v>101</v>
      </c>
      <c r="B112" s="69">
        <v>92200000</v>
      </c>
      <c r="C112" s="69" t="s">
        <v>98</v>
      </c>
      <c r="D112" s="12">
        <v>4000</v>
      </c>
      <c r="E112" s="69" t="s">
        <v>23</v>
      </c>
      <c r="F112" s="37" t="s">
        <v>18</v>
      </c>
      <c r="G112" s="37" t="s">
        <v>19</v>
      </c>
      <c r="H112" s="38"/>
      <c r="I112" s="83"/>
      <c r="J112" s="84"/>
      <c r="K112" s="89"/>
    </row>
    <row r="113" spans="1:16" s="15" customFormat="1" ht="33" customHeight="1" x14ac:dyDescent="0.2">
      <c r="A113" s="69">
        <v>102</v>
      </c>
      <c r="B113" s="69">
        <v>92400000</v>
      </c>
      <c r="C113" s="69" t="s">
        <v>99</v>
      </c>
      <c r="D113" s="12">
        <v>4800</v>
      </c>
      <c r="E113" s="69" t="s">
        <v>23</v>
      </c>
      <c r="F113" s="37" t="s">
        <v>18</v>
      </c>
      <c r="G113" s="37" t="s">
        <v>19</v>
      </c>
      <c r="H113" s="38"/>
      <c r="I113" s="83"/>
      <c r="J113" s="84"/>
      <c r="K113" s="89"/>
    </row>
    <row r="114" spans="1:16" s="15" customFormat="1" ht="39" customHeight="1" x14ac:dyDescent="0.2">
      <c r="A114" s="69">
        <v>103</v>
      </c>
      <c r="B114" s="69">
        <v>92500000</v>
      </c>
      <c r="C114" s="69" t="s">
        <v>100</v>
      </c>
      <c r="D114" s="12">
        <v>44000</v>
      </c>
      <c r="E114" s="69" t="s">
        <v>23</v>
      </c>
      <c r="F114" s="37" t="s">
        <v>18</v>
      </c>
      <c r="G114" s="37" t="s">
        <v>19</v>
      </c>
      <c r="H114" s="38" t="s">
        <v>69</v>
      </c>
      <c r="I114" s="83"/>
      <c r="J114" s="84"/>
      <c r="K114" s="89"/>
    </row>
    <row r="115" spans="1:16" x14ac:dyDescent="0.2">
      <c r="C115" s="103"/>
      <c r="D115" s="104"/>
      <c r="E115" s="100"/>
      <c r="F115" s="105"/>
      <c r="G115" s="106"/>
    </row>
    <row r="116" spans="1:16" x14ac:dyDescent="0.2">
      <c r="C116" s="107"/>
      <c r="D116" s="25"/>
      <c r="E116" s="100"/>
      <c r="F116" s="105"/>
      <c r="G116" s="106"/>
    </row>
    <row r="117" spans="1:16" ht="27.75" customHeight="1" x14ac:dyDescent="0.2">
      <c r="A117" s="3"/>
      <c r="B117" s="152" t="s">
        <v>101</v>
      </c>
      <c r="C117" s="152"/>
      <c r="D117" s="26"/>
      <c r="E117" s="100"/>
      <c r="F117" s="100"/>
      <c r="K117" s="3"/>
    </row>
    <row r="118" spans="1:16" ht="13.5" customHeight="1" x14ac:dyDescent="0.2">
      <c r="A118" s="3"/>
      <c r="B118" s="3"/>
      <c r="D118" s="27"/>
      <c r="E118" s="153" t="s">
        <v>102</v>
      </c>
      <c r="F118" s="153"/>
      <c r="K118" s="3"/>
    </row>
    <row r="119" spans="1:16" ht="15" customHeight="1" x14ac:dyDescent="0.2">
      <c r="A119" s="3"/>
      <c r="B119" s="3"/>
      <c r="H119" s="100"/>
      <c r="K119" s="3"/>
    </row>
    <row r="120" spans="1:16" ht="31.5" customHeight="1" x14ac:dyDescent="0.2">
      <c r="A120" s="3"/>
      <c r="B120" s="152" t="s">
        <v>103</v>
      </c>
      <c r="C120" s="152"/>
      <c r="D120" s="108"/>
      <c r="H120" s="100"/>
      <c r="K120" s="3"/>
    </row>
    <row r="121" spans="1:16" x14ac:dyDescent="0.2">
      <c r="A121" s="3"/>
      <c r="B121" s="3"/>
      <c r="E121" s="153" t="s">
        <v>102</v>
      </c>
      <c r="F121" s="153"/>
      <c r="K121" s="3"/>
    </row>
    <row r="122" spans="1:16" ht="15" customHeight="1" x14ac:dyDescent="0.2">
      <c r="A122" s="3"/>
      <c r="B122" s="3"/>
      <c r="D122" s="109"/>
      <c r="H122" s="100"/>
      <c r="K122" s="3"/>
    </row>
    <row r="126" spans="1:16" x14ac:dyDescent="0.2">
      <c r="A126" s="3"/>
      <c r="B126" s="3"/>
      <c r="K126" s="3"/>
      <c r="O126" s="110"/>
      <c r="P126" s="110"/>
    </row>
    <row r="127" spans="1:16" x14ac:dyDescent="0.2">
      <c r="A127" s="3"/>
      <c r="B127" s="3"/>
      <c r="C127" s="103"/>
      <c r="K127" s="3"/>
      <c r="O127" s="110"/>
      <c r="P127" s="110"/>
    </row>
    <row r="128" spans="1:16" x14ac:dyDescent="0.2">
      <c r="A128" s="3"/>
      <c r="B128" s="3"/>
      <c r="C128" s="103"/>
      <c r="E128" s="103"/>
      <c r="K128" s="3"/>
      <c r="O128" s="110"/>
      <c r="P128" s="110"/>
    </row>
    <row r="129" spans="1:16" ht="19.5" customHeight="1" x14ac:dyDescent="0.2">
      <c r="A129" s="3"/>
      <c r="B129" s="3"/>
      <c r="C129" s="103"/>
      <c r="K129" s="3"/>
      <c r="O129" s="110"/>
      <c r="P129" s="110"/>
    </row>
    <row r="130" spans="1:16" x14ac:dyDescent="0.2">
      <c r="A130" s="3"/>
      <c r="B130" s="3"/>
      <c r="K130" s="3"/>
      <c r="O130" s="110"/>
      <c r="P130" s="110"/>
    </row>
    <row r="131" spans="1:16" ht="24.75" customHeight="1" x14ac:dyDescent="0.2">
      <c r="A131" s="3"/>
      <c r="B131" s="3"/>
      <c r="C131" s="100"/>
      <c r="K131" s="3"/>
      <c r="O131" s="110"/>
      <c r="P131" s="110"/>
    </row>
    <row r="132" spans="1:16" ht="22.5" customHeight="1" x14ac:dyDescent="0.2">
      <c r="A132" s="3"/>
      <c r="B132" s="3"/>
      <c r="K132" s="3"/>
      <c r="O132" s="110"/>
      <c r="P132" s="110"/>
    </row>
    <row r="133" spans="1:16" x14ac:dyDescent="0.2">
      <c r="A133" s="3"/>
      <c r="B133" s="3"/>
      <c r="C133" s="111"/>
      <c r="K133" s="3"/>
      <c r="O133" s="110"/>
      <c r="P133" s="110"/>
    </row>
    <row r="140" spans="1:16" ht="22.5" x14ac:dyDescent="0.2">
      <c r="A140" s="3"/>
      <c r="B140" s="3"/>
      <c r="I140" s="112"/>
    </row>
  </sheetData>
  <sheetProtection algorithmName="SHA-512" hashValue="PukIzURUeaw4hvKBG4AF+eBEshkbyv+sJNcnazu/l07a7tBhNg+VsPLbAJOlw/pXEgrFZOHA5A7/txp+gJWiew==" saltValue="XeBTQZrYpU04U/au6F8OCA==" spinCount="100000" sheet="1" objects="1" scenarios="1"/>
  <mergeCells count="55">
    <mergeCell ref="B117:C117"/>
    <mergeCell ref="E118:F118"/>
    <mergeCell ref="B120:C120"/>
    <mergeCell ref="E121:F121"/>
    <mergeCell ref="B96:B97"/>
    <mergeCell ref="C96:C97"/>
    <mergeCell ref="B98:B99"/>
    <mergeCell ref="C98:C99"/>
    <mergeCell ref="B101:B102"/>
    <mergeCell ref="C101:C102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13:B14"/>
    <mergeCell ref="C13:C14"/>
    <mergeCell ref="B19:B20"/>
    <mergeCell ref="C19:C20"/>
    <mergeCell ref="B21:B22"/>
    <mergeCell ref="C21:C22"/>
    <mergeCell ref="B26:B27"/>
    <mergeCell ref="C26:C27"/>
    <mergeCell ref="B28:B30"/>
    <mergeCell ref="C28:C30"/>
    <mergeCell ref="B31:B32"/>
    <mergeCell ref="C31:C32"/>
    <mergeCell ref="B33:B35"/>
    <mergeCell ref="C33:C35"/>
    <mergeCell ref="B38:B39"/>
    <mergeCell ref="C38:C39"/>
    <mergeCell ref="B51:B53"/>
    <mergeCell ref="C51:C53"/>
    <mergeCell ref="B66:B67"/>
    <mergeCell ref="C66:C67"/>
    <mergeCell ref="B75:B76"/>
    <mergeCell ref="C75:C76"/>
    <mergeCell ref="B60:B61"/>
    <mergeCell ref="C60:C61"/>
    <mergeCell ref="B62:B63"/>
    <mergeCell ref="C62:C63"/>
    <mergeCell ref="B68:B69"/>
    <mergeCell ref="C68:C69"/>
    <mergeCell ref="B92:B95"/>
    <mergeCell ref="C92:C95"/>
    <mergeCell ref="B77:B81"/>
    <mergeCell ref="C77:C81"/>
    <mergeCell ref="B89:B90"/>
    <mergeCell ref="C89:C90"/>
    <mergeCell ref="B85:B86"/>
    <mergeCell ref="C85:C86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workbookViewId="0">
      <selection activeCell="A9" sqref="A9:H9"/>
    </sheetView>
  </sheetViews>
  <sheetFormatPr defaultRowHeight="13.5" x14ac:dyDescent="0.2"/>
  <cols>
    <col min="1" max="1" width="3.85546875" style="4" customWidth="1"/>
    <col min="2" max="2" width="10" style="4" customWidth="1"/>
    <col min="3" max="3" width="53.7109375" style="3" customWidth="1"/>
    <col min="4" max="4" width="12.28515625" style="1" customWidth="1"/>
    <col min="5" max="5" width="10.42578125" style="3" customWidth="1"/>
    <col min="6" max="6" width="12.5703125" style="3" customWidth="1"/>
    <col min="7" max="7" width="16.42578125" style="3" customWidth="1"/>
    <col min="8" max="8" width="56.5703125" style="3" customWidth="1"/>
    <col min="9" max="9" width="29" style="4" customWidth="1"/>
    <col min="10" max="11" width="9.140625" style="3"/>
    <col min="12" max="12" width="20" style="3" customWidth="1"/>
    <col min="13" max="16384" width="9.140625" style="6"/>
  </cols>
  <sheetData>
    <row r="1" spans="1:12" ht="18" customHeight="1" x14ac:dyDescent="0.2"/>
    <row r="2" spans="1:12" s="8" customFormat="1" ht="23.25" customHeight="1" x14ac:dyDescent="0.2">
      <c r="A2" s="3"/>
      <c r="B2" s="3"/>
      <c r="C2" s="3"/>
      <c r="D2" s="1"/>
      <c r="E2" s="3"/>
      <c r="F2" s="3"/>
      <c r="G2" s="3"/>
      <c r="H2" s="72" t="s">
        <v>104</v>
      </c>
      <c r="I2" s="4"/>
      <c r="J2" s="73"/>
      <c r="K2" s="73"/>
      <c r="L2" s="73"/>
    </row>
    <row r="3" spans="1:12" s="8" customFormat="1" ht="20.25" customHeight="1" x14ac:dyDescent="0.2">
      <c r="A3" s="3"/>
      <c r="B3" s="3"/>
      <c r="C3" s="136" t="s">
        <v>1</v>
      </c>
      <c r="D3" s="136"/>
      <c r="E3" s="136"/>
      <c r="F3" s="136"/>
      <c r="G3" s="136"/>
      <c r="H3" s="3"/>
      <c r="I3" s="4"/>
      <c r="J3" s="100"/>
      <c r="K3" s="73"/>
      <c r="L3" s="73"/>
    </row>
    <row r="4" spans="1:12" s="8" customFormat="1" ht="26.25" customHeight="1" x14ac:dyDescent="0.2">
      <c r="A4" s="130" t="s">
        <v>165</v>
      </c>
      <c r="B4" s="131"/>
      <c r="C4" s="131"/>
      <c r="D4" s="131"/>
      <c r="E4" s="132"/>
      <c r="F4" s="130" t="s">
        <v>2</v>
      </c>
      <c r="G4" s="131"/>
      <c r="H4" s="132"/>
      <c r="I4" s="4"/>
      <c r="J4" s="113"/>
      <c r="K4" s="73"/>
      <c r="L4" s="73"/>
    </row>
    <row r="5" spans="1:12" s="8" customFormat="1" ht="18.75" customHeight="1" x14ac:dyDescent="0.2">
      <c r="A5" s="137"/>
      <c r="B5" s="138"/>
      <c r="C5" s="138"/>
      <c r="D5" s="138"/>
      <c r="E5" s="139"/>
      <c r="F5" s="143">
        <v>204578581</v>
      </c>
      <c r="G5" s="144"/>
      <c r="H5" s="145"/>
      <c r="I5" s="4"/>
      <c r="J5" s="73"/>
      <c r="K5" s="73"/>
      <c r="L5" s="73"/>
    </row>
    <row r="6" spans="1:12" s="8" customFormat="1" ht="22.5" customHeight="1" x14ac:dyDescent="0.2">
      <c r="A6" s="130" t="s">
        <v>3</v>
      </c>
      <c r="B6" s="131"/>
      <c r="C6" s="131"/>
      <c r="D6" s="131"/>
      <c r="E6" s="132"/>
      <c r="F6" s="130" t="s">
        <v>105</v>
      </c>
      <c r="G6" s="146"/>
      <c r="H6" s="147"/>
      <c r="I6" s="4"/>
      <c r="J6" s="73"/>
      <c r="K6" s="73"/>
      <c r="L6" s="73"/>
    </row>
    <row r="7" spans="1:12" s="8" customFormat="1" ht="21.75" customHeight="1" x14ac:dyDescent="0.2">
      <c r="A7" s="143" t="s">
        <v>5</v>
      </c>
      <c r="B7" s="144"/>
      <c r="C7" s="144"/>
      <c r="D7" s="144"/>
      <c r="E7" s="145"/>
      <c r="F7" s="148"/>
      <c r="G7" s="149"/>
      <c r="H7" s="150"/>
      <c r="I7" s="4"/>
      <c r="J7" s="73"/>
      <c r="K7" s="113" t="e">
        <f>SUM(K8:K10)</f>
        <v>#REF!</v>
      </c>
      <c r="L7" s="76" t="e">
        <f>I9+K7</f>
        <v>#REF!</v>
      </c>
    </row>
    <row r="8" spans="1:12" s="8" customFormat="1" ht="21" customHeight="1" x14ac:dyDescent="0.2">
      <c r="A8" s="130" t="s">
        <v>6</v>
      </c>
      <c r="B8" s="131"/>
      <c r="C8" s="131"/>
      <c r="D8" s="131"/>
      <c r="E8" s="131"/>
      <c r="F8" s="131"/>
      <c r="G8" s="131"/>
      <c r="H8" s="132"/>
      <c r="I8" s="73"/>
      <c r="J8" s="73"/>
      <c r="K8" s="114">
        <f>D14</f>
        <v>9900</v>
      </c>
      <c r="L8" s="3" t="s">
        <v>166</v>
      </c>
    </row>
    <row r="9" spans="1:12" s="4" customFormat="1" ht="15.75" customHeight="1" x14ac:dyDescent="0.2">
      <c r="A9" s="157">
        <v>36536065</v>
      </c>
      <c r="B9" s="158"/>
      <c r="C9" s="158"/>
      <c r="D9" s="158"/>
      <c r="E9" s="158"/>
      <c r="F9" s="158"/>
      <c r="G9" s="158"/>
      <c r="H9" s="158"/>
      <c r="K9" s="114" t="e">
        <f>D21+D53+D64+D65+D66+D86+D88+D95+D104+D109+D110+#REF!</f>
        <v>#REF!</v>
      </c>
      <c r="L9" s="4" t="s">
        <v>167</v>
      </c>
    </row>
    <row r="10" spans="1:12" s="31" customFormat="1" ht="57" customHeight="1" x14ac:dyDescent="0.2">
      <c r="A10" s="69" t="s">
        <v>7</v>
      </c>
      <c r="B10" s="69" t="s">
        <v>8</v>
      </c>
      <c r="C10" s="69" t="s">
        <v>9</v>
      </c>
      <c r="D10" s="10" t="s">
        <v>10</v>
      </c>
      <c r="E10" s="69" t="s">
        <v>11</v>
      </c>
      <c r="F10" s="69" t="s">
        <v>12</v>
      </c>
      <c r="G10" s="69" t="s">
        <v>13</v>
      </c>
      <c r="H10" s="69" t="s">
        <v>14</v>
      </c>
      <c r="I10" s="4"/>
      <c r="J10" s="4"/>
      <c r="K10" s="114">
        <f>D106</f>
        <v>9600</v>
      </c>
      <c r="L10" s="4" t="s">
        <v>168</v>
      </c>
    </row>
    <row r="11" spans="1:12" s="31" customFormat="1" ht="15" customHeight="1" x14ac:dyDescent="0.2">
      <c r="A11" s="69">
        <v>1</v>
      </c>
      <c r="B11" s="69">
        <v>2</v>
      </c>
      <c r="C11" s="69">
        <v>3</v>
      </c>
      <c r="D11" s="12">
        <v>4</v>
      </c>
      <c r="E11" s="69">
        <v>5</v>
      </c>
      <c r="F11" s="69">
        <v>6</v>
      </c>
      <c r="G11" s="69">
        <v>7</v>
      </c>
      <c r="H11" s="69">
        <v>8</v>
      </c>
      <c r="I11" s="4"/>
      <c r="J11" s="4"/>
      <c r="K11" s="4"/>
      <c r="L11" s="4"/>
    </row>
    <row r="12" spans="1:12" s="15" customFormat="1" ht="27.75" customHeight="1" x14ac:dyDescent="0.2">
      <c r="A12" s="69">
        <v>1</v>
      </c>
      <c r="B12" s="88" t="s">
        <v>106</v>
      </c>
      <c r="C12" s="69" t="s">
        <v>107</v>
      </c>
      <c r="D12" s="12">
        <f>8630+1200</f>
        <v>9830</v>
      </c>
      <c r="E12" s="69" t="s">
        <v>23</v>
      </c>
      <c r="F12" s="37" t="s">
        <v>18</v>
      </c>
      <c r="G12" s="37" t="s">
        <v>19</v>
      </c>
      <c r="H12" s="38"/>
      <c r="I12" s="70"/>
      <c r="J12" s="3"/>
      <c r="K12" s="3"/>
    </row>
    <row r="13" spans="1:12" s="15" customFormat="1" ht="33" customHeight="1" x14ac:dyDescent="0.2">
      <c r="A13" s="69">
        <v>2</v>
      </c>
      <c r="B13" s="37" t="s">
        <v>15</v>
      </c>
      <c r="C13" s="69" t="s">
        <v>16</v>
      </c>
      <c r="D13" s="12">
        <f>1011000+6050</f>
        <v>1017050</v>
      </c>
      <c r="E13" s="69" t="s">
        <v>17</v>
      </c>
      <c r="F13" s="37" t="s">
        <v>18</v>
      </c>
      <c r="G13" s="37" t="s">
        <v>19</v>
      </c>
      <c r="H13" s="38" t="s">
        <v>20</v>
      </c>
      <c r="I13" s="96"/>
      <c r="J13" s="3"/>
      <c r="K13" s="3"/>
    </row>
    <row r="14" spans="1:12" s="3" customFormat="1" ht="35.25" customHeight="1" x14ac:dyDescent="0.2">
      <c r="A14" s="69">
        <v>3</v>
      </c>
      <c r="B14" s="44" t="s">
        <v>108</v>
      </c>
      <c r="C14" s="68" t="s">
        <v>22</v>
      </c>
      <c r="D14" s="12">
        <v>9900</v>
      </c>
      <c r="E14" s="69" t="s">
        <v>23</v>
      </c>
      <c r="F14" s="37" t="s">
        <v>18</v>
      </c>
      <c r="G14" s="37" t="s">
        <v>19</v>
      </c>
      <c r="H14" s="38"/>
      <c r="I14" s="91"/>
    </row>
    <row r="15" spans="1:12" s="15" customFormat="1" ht="33" customHeight="1" x14ac:dyDescent="0.2">
      <c r="A15" s="69">
        <v>4</v>
      </c>
      <c r="B15" s="69">
        <v>14200000</v>
      </c>
      <c r="C15" s="69" t="s">
        <v>24</v>
      </c>
      <c r="D15" s="12">
        <v>9900</v>
      </c>
      <c r="E15" s="69" t="s">
        <v>23</v>
      </c>
      <c r="F15" s="37" t="s">
        <v>18</v>
      </c>
      <c r="G15" s="37" t="s">
        <v>19</v>
      </c>
      <c r="H15" s="69"/>
      <c r="I15" s="86"/>
      <c r="J15" s="86"/>
      <c r="K15" s="3"/>
    </row>
    <row r="16" spans="1:12" s="15" customFormat="1" ht="32.25" customHeight="1" x14ac:dyDescent="0.2">
      <c r="A16" s="69">
        <v>5</v>
      </c>
      <c r="B16" s="88">
        <v>15800000</v>
      </c>
      <c r="C16" s="69" t="s">
        <v>27</v>
      </c>
      <c r="D16" s="12">
        <v>2000</v>
      </c>
      <c r="E16" s="69" t="s">
        <v>23</v>
      </c>
      <c r="F16" s="37" t="s">
        <v>150</v>
      </c>
      <c r="G16" s="37" t="s">
        <v>151</v>
      </c>
      <c r="H16" s="38" t="s">
        <v>28</v>
      </c>
      <c r="I16" s="70"/>
      <c r="J16" s="70"/>
      <c r="K16" s="71"/>
    </row>
    <row r="17" spans="1:11" s="15" customFormat="1" ht="32.25" customHeight="1" x14ac:dyDescent="0.2">
      <c r="A17" s="69">
        <v>6</v>
      </c>
      <c r="B17" s="69">
        <v>16700000</v>
      </c>
      <c r="C17" s="69" t="s">
        <v>109</v>
      </c>
      <c r="D17" s="20">
        <v>930000</v>
      </c>
      <c r="E17" s="69" t="s">
        <v>32</v>
      </c>
      <c r="F17" s="37" t="s">
        <v>18</v>
      </c>
      <c r="G17" s="37" t="s">
        <v>19</v>
      </c>
      <c r="H17" s="38"/>
      <c r="I17" s="96"/>
      <c r="J17" s="70"/>
      <c r="K17" s="3"/>
    </row>
    <row r="18" spans="1:11" s="15" customFormat="1" ht="38.25" customHeight="1" x14ac:dyDescent="0.2">
      <c r="A18" s="69">
        <v>7</v>
      </c>
      <c r="B18" s="69">
        <v>18100000</v>
      </c>
      <c r="C18" s="69" t="s">
        <v>110</v>
      </c>
      <c r="D18" s="12">
        <v>4000</v>
      </c>
      <c r="E18" s="69" t="s">
        <v>23</v>
      </c>
      <c r="F18" s="37" t="s">
        <v>18</v>
      </c>
      <c r="G18" s="37" t="s">
        <v>19</v>
      </c>
      <c r="H18" s="38"/>
      <c r="I18" s="90"/>
      <c r="J18" s="3"/>
      <c r="K18" s="3"/>
    </row>
    <row r="19" spans="1:11" s="15" customFormat="1" ht="35.25" customHeight="1" x14ac:dyDescent="0.2">
      <c r="A19" s="69">
        <v>8</v>
      </c>
      <c r="B19" s="69">
        <v>18200000</v>
      </c>
      <c r="C19" s="69" t="s">
        <v>111</v>
      </c>
      <c r="D19" s="12">
        <f>7000-1297</f>
        <v>5703</v>
      </c>
      <c r="E19" s="69" t="s">
        <v>23</v>
      </c>
      <c r="F19" s="37" t="s">
        <v>18</v>
      </c>
      <c r="G19" s="37" t="s">
        <v>19</v>
      </c>
      <c r="H19" s="38"/>
      <c r="I19" s="115"/>
      <c r="J19" s="3"/>
      <c r="K19" s="3"/>
    </row>
    <row r="20" spans="1:11" s="15" customFormat="1" ht="35.25" customHeight="1" x14ac:dyDescent="0.2">
      <c r="A20" s="69">
        <v>9</v>
      </c>
      <c r="B20" s="69">
        <v>18300000</v>
      </c>
      <c r="C20" s="69" t="s">
        <v>30</v>
      </c>
      <c r="D20" s="12">
        <v>9900</v>
      </c>
      <c r="E20" s="69" t="s">
        <v>23</v>
      </c>
      <c r="F20" s="37" t="s">
        <v>18</v>
      </c>
      <c r="G20" s="37" t="s">
        <v>19</v>
      </c>
      <c r="H20" s="38"/>
      <c r="I20" s="115"/>
      <c r="J20" s="3"/>
      <c r="K20" s="3"/>
    </row>
    <row r="21" spans="1:11" s="3" customFormat="1" ht="36" customHeight="1" x14ac:dyDescent="0.2">
      <c r="A21" s="69">
        <v>10</v>
      </c>
      <c r="B21" s="69">
        <v>18400000</v>
      </c>
      <c r="C21" s="69" t="s">
        <v>31</v>
      </c>
      <c r="D21" s="12">
        <f>350630+229744</f>
        <v>580374</v>
      </c>
      <c r="E21" s="69" t="s">
        <v>32</v>
      </c>
      <c r="F21" s="37" t="s">
        <v>18</v>
      </c>
      <c r="G21" s="37" t="s">
        <v>19</v>
      </c>
      <c r="H21" s="38"/>
      <c r="I21" s="90"/>
      <c r="J21" s="70"/>
    </row>
    <row r="22" spans="1:11" s="15" customFormat="1" ht="38.25" customHeight="1" x14ac:dyDescent="0.2">
      <c r="A22" s="69">
        <v>11</v>
      </c>
      <c r="B22" s="154">
        <v>18500000</v>
      </c>
      <c r="C22" s="154" t="s">
        <v>34</v>
      </c>
      <c r="D22" s="12">
        <f>21728-2100</f>
        <v>19628</v>
      </c>
      <c r="E22" s="69" t="s">
        <v>23</v>
      </c>
      <c r="F22" s="37" t="s">
        <v>18</v>
      </c>
      <c r="G22" s="37" t="s">
        <v>19</v>
      </c>
      <c r="H22" s="38" t="s">
        <v>28</v>
      </c>
      <c r="I22" s="4"/>
      <c r="J22" s="3"/>
      <c r="K22" s="3"/>
    </row>
    <row r="23" spans="1:11" s="15" customFormat="1" ht="38.25" customHeight="1" x14ac:dyDescent="0.2">
      <c r="A23" s="69">
        <v>12</v>
      </c>
      <c r="B23" s="155"/>
      <c r="C23" s="155"/>
      <c r="D23" s="12">
        <f>9900+8272</f>
        <v>18172</v>
      </c>
      <c r="E23" s="69" t="s">
        <v>32</v>
      </c>
      <c r="F23" s="37" t="s">
        <v>18</v>
      </c>
      <c r="G23" s="37" t="s">
        <v>19</v>
      </c>
      <c r="H23" s="38"/>
      <c r="I23" s="4"/>
      <c r="J23" s="3"/>
      <c r="K23" s="3"/>
    </row>
    <row r="24" spans="1:11" s="15" customFormat="1" ht="36" customHeight="1" x14ac:dyDescent="0.2">
      <c r="A24" s="69">
        <v>13</v>
      </c>
      <c r="B24" s="68">
        <v>18800000</v>
      </c>
      <c r="C24" s="69" t="s">
        <v>112</v>
      </c>
      <c r="D24" s="12">
        <f>344535-54366</f>
        <v>290169</v>
      </c>
      <c r="E24" s="69" t="s">
        <v>32</v>
      </c>
      <c r="F24" s="37" t="s">
        <v>18</v>
      </c>
      <c r="G24" s="37" t="s">
        <v>19</v>
      </c>
      <c r="H24" s="38"/>
      <c r="I24" s="90"/>
      <c r="J24" s="70"/>
      <c r="K24" s="3"/>
    </row>
    <row r="25" spans="1:11" s="15" customFormat="1" ht="31.5" customHeight="1" x14ac:dyDescent="0.2">
      <c r="A25" s="69">
        <v>14</v>
      </c>
      <c r="B25" s="88">
        <v>18900000</v>
      </c>
      <c r="C25" s="69" t="s">
        <v>113</v>
      </c>
      <c r="D25" s="12">
        <v>3000</v>
      </c>
      <c r="E25" s="69" t="s">
        <v>23</v>
      </c>
      <c r="F25" s="37" t="s">
        <v>18</v>
      </c>
      <c r="G25" s="37" t="s">
        <v>19</v>
      </c>
      <c r="H25" s="38"/>
      <c r="I25" s="4"/>
      <c r="J25" s="70"/>
      <c r="K25" s="3"/>
    </row>
    <row r="26" spans="1:11" s="15" customFormat="1" ht="33.75" customHeight="1" x14ac:dyDescent="0.2">
      <c r="A26" s="69">
        <v>15</v>
      </c>
      <c r="B26" s="69">
        <v>19400000</v>
      </c>
      <c r="C26" s="69" t="s">
        <v>114</v>
      </c>
      <c r="D26" s="12">
        <v>1000</v>
      </c>
      <c r="E26" s="69" t="s">
        <v>23</v>
      </c>
      <c r="F26" s="37" t="s">
        <v>18</v>
      </c>
      <c r="G26" s="37" t="s">
        <v>19</v>
      </c>
      <c r="H26" s="38"/>
      <c r="I26" s="90"/>
      <c r="J26" s="83"/>
      <c r="K26" s="70"/>
    </row>
    <row r="27" spans="1:11" s="15" customFormat="1" ht="33.75" customHeight="1" x14ac:dyDescent="0.2">
      <c r="A27" s="69">
        <v>16</v>
      </c>
      <c r="B27" s="69">
        <v>19600000</v>
      </c>
      <c r="C27" s="69" t="s">
        <v>115</v>
      </c>
      <c r="D27" s="12">
        <v>500</v>
      </c>
      <c r="E27" s="69" t="s">
        <v>23</v>
      </c>
      <c r="F27" s="37" t="s">
        <v>18</v>
      </c>
      <c r="G27" s="37" t="s">
        <v>19</v>
      </c>
      <c r="H27" s="41"/>
      <c r="I27" s="87"/>
      <c r="J27" s="3"/>
      <c r="K27" s="3"/>
    </row>
    <row r="28" spans="1:11" s="15" customFormat="1" ht="33" customHeight="1" x14ac:dyDescent="0.2">
      <c r="A28" s="69">
        <v>17</v>
      </c>
      <c r="B28" s="88">
        <v>22100000</v>
      </c>
      <c r="C28" s="69" t="s">
        <v>116</v>
      </c>
      <c r="D28" s="12">
        <v>9900</v>
      </c>
      <c r="E28" s="69" t="s">
        <v>23</v>
      </c>
      <c r="F28" s="37" t="s">
        <v>18</v>
      </c>
      <c r="G28" s="37" t="s">
        <v>19</v>
      </c>
      <c r="H28" s="38"/>
      <c r="I28" s="91"/>
      <c r="J28" s="3"/>
      <c r="K28" s="3"/>
    </row>
    <row r="29" spans="1:11" s="15" customFormat="1" ht="42" customHeight="1" x14ac:dyDescent="0.2">
      <c r="A29" s="69">
        <v>18</v>
      </c>
      <c r="B29" s="69">
        <v>22400000</v>
      </c>
      <c r="C29" s="69" t="s">
        <v>35</v>
      </c>
      <c r="D29" s="12">
        <v>5200</v>
      </c>
      <c r="E29" s="69" t="s">
        <v>23</v>
      </c>
      <c r="F29" s="37" t="s">
        <v>18</v>
      </c>
      <c r="G29" s="37" t="s">
        <v>19</v>
      </c>
      <c r="H29" s="38"/>
      <c r="I29" s="90"/>
      <c r="J29" s="3"/>
      <c r="K29" s="3"/>
    </row>
    <row r="30" spans="1:11" s="15" customFormat="1" ht="44.25" customHeight="1" x14ac:dyDescent="0.2">
      <c r="A30" s="69">
        <v>19</v>
      </c>
      <c r="B30" s="69">
        <v>22800000</v>
      </c>
      <c r="C30" s="69" t="s">
        <v>117</v>
      </c>
      <c r="D30" s="12">
        <v>9900</v>
      </c>
      <c r="E30" s="69" t="s">
        <v>23</v>
      </c>
      <c r="F30" s="37" t="s">
        <v>18</v>
      </c>
      <c r="G30" s="37" t="s">
        <v>19</v>
      </c>
      <c r="H30" s="38"/>
      <c r="I30" s="83"/>
      <c r="J30" s="83"/>
      <c r="K30" s="71"/>
    </row>
    <row r="31" spans="1:11" s="15" customFormat="1" ht="35.25" customHeight="1" x14ac:dyDescent="0.2">
      <c r="A31" s="69">
        <v>20</v>
      </c>
      <c r="B31" s="69">
        <v>22900000</v>
      </c>
      <c r="C31" s="69" t="s">
        <v>118</v>
      </c>
      <c r="D31" s="12">
        <v>3000</v>
      </c>
      <c r="E31" s="69" t="s">
        <v>23</v>
      </c>
      <c r="F31" s="37" t="s">
        <v>18</v>
      </c>
      <c r="G31" s="37" t="s">
        <v>19</v>
      </c>
      <c r="H31" s="38"/>
      <c r="I31" s="4"/>
      <c r="J31" s="3"/>
      <c r="K31" s="3"/>
    </row>
    <row r="32" spans="1:11" s="15" customFormat="1" ht="35.25" customHeight="1" x14ac:dyDescent="0.2">
      <c r="A32" s="69">
        <v>21</v>
      </c>
      <c r="B32" s="69">
        <v>24900000</v>
      </c>
      <c r="C32" s="69" t="s">
        <v>119</v>
      </c>
      <c r="D32" s="12">
        <v>1000</v>
      </c>
      <c r="E32" s="69" t="s">
        <v>23</v>
      </c>
      <c r="F32" s="37" t="s">
        <v>18</v>
      </c>
      <c r="G32" s="37" t="s">
        <v>19</v>
      </c>
      <c r="H32" s="38"/>
      <c r="I32" s="4"/>
      <c r="J32" s="3"/>
      <c r="K32" s="3"/>
    </row>
    <row r="33" spans="1:11" s="3" customFormat="1" ht="39.75" customHeight="1" x14ac:dyDescent="0.2">
      <c r="A33" s="69">
        <v>22</v>
      </c>
      <c r="B33" s="154">
        <v>30100000</v>
      </c>
      <c r="C33" s="154" t="s">
        <v>37</v>
      </c>
      <c r="D33" s="18">
        <f>9900-2430</f>
        <v>7470</v>
      </c>
      <c r="E33" s="69" t="s">
        <v>23</v>
      </c>
      <c r="F33" s="37" t="s">
        <v>18</v>
      </c>
      <c r="G33" s="37" t="s">
        <v>19</v>
      </c>
      <c r="H33" s="38"/>
      <c r="I33" s="4"/>
    </row>
    <row r="34" spans="1:11" s="3" customFormat="1" ht="39.75" customHeight="1" x14ac:dyDescent="0.2">
      <c r="A34" s="69">
        <v>23</v>
      </c>
      <c r="B34" s="155"/>
      <c r="C34" s="155"/>
      <c r="D34" s="19">
        <v>2430</v>
      </c>
      <c r="E34" s="69" t="s">
        <v>23</v>
      </c>
      <c r="F34" s="37" t="s">
        <v>25</v>
      </c>
      <c r="G34" s="37" t="s">
        <v>26</v>
      </c>
      <c r="H34" s="38"/>
      <c r="I34" s="4"/>
    </row>
    <row r="35" spans="1:11" s="3" customFormat="1" ht="27" customHeight="1" x14ac:dyDescent="0.2">
      <c r="A35" s="69">
        <v>24</v>
      </c>
      <c r="B35" s="154">
        <v>30200000</v>
      </c>
      <c r="C35" s="154" t="s">
        <v>38</v>
      </c>
      <c r="D35" s="45">
        <v>15200</v>
      </c>
      <c r="E35" s="69" t="s">
        <v>17</v>
      </c>
      <c r="F35" s="37" t="s">
        <v>18</v>
      </c>
      <c r="G35" s="37" t="s">
        <v>19</v>
      </c>
      <c r="H35" s="38" t="s">
        <v>20</v>
      </c>
      <c r="I35" s="90"/>
    </row>
    <row r="36" spans="1:11" s="3" customFormat="1" ht="27" customHeight="1" x14ac:dyDescent="0.2">
      <c r="A36" s="69">
        <v>25</v>
      </c>
      <c r="B36" s="156"/>
      <c r="C36" s="156"/>
      <c r="D36" s="46">
        <v>31000</v>
      </c>
      <c r="E36" s="69" t="s">
        <v>17</v>
      </c>
      <c r="F36" s="37" t="s">
        <v>18</v>
      </c>
      <c r="G36" s="37" t="s">
        <v>19</v>
      </c>
      <c r="H36" s="38" t="s">
        <v>20</v>
      </c>
      <c r="I36" s="90"/>
    </row>
    <row r="37" spans="1:11" s="3" customFormat="1" ht="27" customHeight="1" x14ac:dyDescent="0.2">
      <c r="A37" s="69">
        <v>26</v>
      </c>
      <c r="B37" s="156"/>
      <c r="C37" s="156"/>
      <c r="D37" s="45">
        <f>9900-2430</f>
        <v>7470</v>
      </c>
      <c r="E37" s="69" t="s">
        <v>23</v>
      </c>
      <c r="F37" s="37" t="s">
        <v>18</v>
      </c>
      <c r="G37" s="37" t="s">
        <v>19</v>
      </c>
      <c r="H37" s="38"/>
      <c r="I37" s="90"/>
    </row>
    <row r="38" spans="1:11" s="3" customFormat="1" ht="27" customHeight="1" x14ac:dyDescent="0.2">
      <c r="A38" s="69">
        <v>27</v>
      </c>
      <c r="B38" s="156"/>
      <c r="C38" s="156"/>
      <c r="D38" s="46">
        <v>2430</v>
      </c>
      <c r="E38" s="69" t="s">
        <v>23</v>
      </c>
      <c r="F38" s="37" t="s">
        <v>18</v>
      </c>
      <c r="G38" s="37" t="s">
        <v>19</v>
      </c>
      <c r="H38" s="38"/>
      <c r="I38" s="90"/>
    </row>
    <row r="39" spans="1:11" s="15" customFormat="1" ht="34.5" customHeight="1" x14ac:dyDescent="0.2">
      <c r="A39" s="69">
        <v>28</v>
      </c>
      <c r="B39" s="69">
        <v>31100000</v>
      </c>
      <c r="C39" s="69" t="s">
        <v>39</v>
      </c>
      <c r="D39" s="20">
        <v>300000</v>
      </c>
      <c r="E39" s="69" t="s">
        <v>32</v>
      </c>
      <c r="F39" s="37" t="s">
        <v>18</v>
      </c>
      <c r="G39" s="37" t="s">
        <v>19</v>
      </c>
      <c r="H39" s="38"/>
      <c r="I39" s="96"/>
      <c r="J39" s="83"/>
      <c r="K39" s="70"/>
    </row>
    <row r="40" spans="1:11" s="15" customFormat="1" ht="33.75" customHeight="1" x14ac:dyDescent="0.2">
      <c r="A40" s="69">
        <v>29</v>
      </c>
      <c r="B40" s="69">
        <v>31200000</v>
      </c>
      <c r="C40" s="69" t="s">
        <v>120</v>
      </c>
      <c r="D40" s="12">
        <f>3700+5000</f>
        <v>8700</v>
      </c>
      <c r="E40" s="69" t="s">
        <v>23</v>
      </c>
      <c r="F40" s="37" t="s">
        <v>18</v>
      </c>
      <c r="G40" s="37" t="s">
        <v>19</v>
      </c>
      <c r="H40" s="38"/>
      <c r="I40" s="90"/>
      <c r="J40" s="3"/>
      <c r="K40" s="3"/>
    </row>
    <row r="41" spans="1:11" s="15" customFormat="1" ht="34.5" customHeight="1" x14ac:dyDescent="0.2">
      <c r="A41" s="69">
        <v>30</v>
      </c>
      <c r="B41" s="69">
        <v>31300000</v>
      </c>
      <c r="C41" s="69" t="s">
        <v>121</v>
      </c>
      <c r="D41" s="12">
        <f>8000</f>
        <v>8000</v>
      </c>
      <c r="E41" s="69" t="s">
        <v>23</v>
      </c>
      <c r="F41" s="37" t="s">
        <v>18</v>
      </c>
      <c r="G41" s="37" t="s">
        <v>19</v>
      </c>
      <c r="H41" s="38"/>
      <c r="I41" s="90"/>
      <c r="J41" s="3"/>
      <c r="K41" s="3"/>
    </row>
    <row r="42" spans="1:11" s="3" customFormat="1" ht="36.75" customHeight="1" x14ac:dyDescent="0.2">
      <c r="A42" s="69">
        <v>31</v>
      </c>
      <c r="B42" s="69">
        <v>31400000</v>
      </c>
      <c r="C42" s="69" t="s">
        <v>40</v>
      </c>
      <c r="D42" s="12">
        <v>11000</v>
      </c>
      <c r="E42" s="69" t="s">
        <v>32</v>
      </c>
      <c r="F42" s="37" t="s">
        <v>150</v>
      </c>
      <c r="G42" s="37" t="s">
        <v>151</v>
      </c>
      <c r="H42" s="38"/>
      <c r="I42" s="96"/>
      <c r="J42" s="83"/>
      <c r="K42" s="70"/>
    </row>
    <row r="43" spans="1:11" s="15" customFormat="1" ht="33.75" customHeight="1" x14ac:dyDescent="0.2">
      <c r="A43" s="69">
        <v>32</v>
      </c>
      <c r="B43" s="69">
        <v>31500000</v>
      </c>
      <c r="C43" s="69" t="s">
        <v>41</v>
      </c>
      <c r="D43" s="12">
        <v>9900</v>
      </c>
      <c r="E43" s="69" t="s">
        <v>23</v>
      </c>
      <c r="F43" s="37" t="s">
        <v>18</v>
      </c>
      <c r="G43" s="37" t="s">
        <v>19</v>
      </c>
      <c r="H43" s="40"/>
      <c r="I43" s="115"/>
      <c r="J43" s="3"/>
      <c r="K43" s="3"/>
    </row>
    <row r="44" spans="1:11" s="15" customFormat="1" ht="33.75" customHeight="1" x14ac:dyDescent="0.2">
      <c r="A44" s="69">
        <v>33</v>
      </c>
      <c r="B44" s="69">
        <v>31600000</v>
      </c>
      <c r="C44" s="69" t="s">
        <v>122</v>
      </c>
      <c r="D44" s="12">
        <v>500</v>
      </c>
      <c r="E44" s="69" t="s">
        <v>23</v>
      </c>
      <c r="F44" s="37" t="s">
        <v>18</v>
      </c>
      <c r="G44" s="37" t="s">
        <v>19</v>
      </c>
      <c r="H44" s="40"/>
      <c r="I44" s="115"/>
      <c r="J44" s="3"/>
      <c r="K44" s="3"/>
    </row>
    <row r="45" spans="1:11" s="15" customFormat="1" ht="36" customHeight="1" x14ac:dyDescent="0.2">
      <c r="A45" s="69">
        <v>34</v>
      </c>
      <c r="B45" s="69">
        <v>32200000</v>
      </c>
      <c r="C45" s="69" t="s">
        <v>42</v>
      </c>
      <c r="D45" s="12">
        <v>9000</v>
      </c>
      <c r="E45" s="69" t="s">
        <v>23</v>
      </c>
      <c r="F45" s="37" t="s">
        <v>18</v>
      </c>
      <c r="G45" s="37" t="s">
        <v>19</v>
      </c>
      <c r="H45" s="40"/>
      <c r="I45" s="115"/>
      <c r="J45" s="3"/>
      <c r="K45" s="3"/>
    </row>
    <row r="46" spans="1:11" s="3" customFormat="1" ht="37.5" customHeight="1" x14ac:dyDescent="0.2">
      <c r="A46" s="69">
        <v>35</v>
      </c>
      <c r="B46" s="68">
        <v>32300000</v>
      </c>
      <c r="C46" s="68" t="s">
        <v>43</v>
      </c>
      <c r="D46" s="20">
        <v>1000000</v>
      </c>
      <c r="E46" s="69" t="s">
        <v>32</v>
      </c>
      <c r="F46" s="37" t="s">
        <v>25</v>
      </c>
      <c r="G46" s="37" t="s">
        <v>26</v>
      </c>
      <c r="H46" s="40"/>
      <c r="I46" s="93"/>
    </row>
    <row r="47" spans="1:11" s="3" customFormat="1" ht="33.75" customHeight="1" x14ac:dyDescent="0.2">
      <c r="A47" s="69">
        <v>36</v>
      </c>
      <c r="B47" s="68">
        <v>32400000</v>
      </c>
      <c r="C47" s="68" t="s">
        <v>44</v>
      </c>
      <c r="D47" s="12">
        <v>9000</v>
      </c>
      <c r="E47" s="69" t="s">
        <v>23</v>
      </c>
      <c r="F47" s="37" t="s">
        <v>18</v>
      </c>
      <c r="G47" s="37" t="s">
        <v>19</v>
      </c>
      <c r="H47" s="38"/>
      <c r="I47" s="83"/>
      <c r="J47" s="83"/>
      <c r="K47" s="70"/>
    </row>
    <row r="48" spans="1:11" s="3" customFormat="1" ht="33.75" customHeight="1" x14ac:dyDescent="0.2">
      <c r="A48" s="69">
        <v>37</v>
      </c>
      <c r="B48" s="68">
        <v>34100000</v>
      </c>
      <c r="C48" s="68" t="s">
        <v>47</v>
      </c>
      <c r="D48" s="20">
        <v>495000</v>
      </c>
      <c r="E48" s="69" t="s">
        <v>32</v>
      </c>
      <c r="F48" s="37" t="s">
        <v>25</v>
      </c>
      <c r="G48" s="37" t="s">
        <v>26</v>
      </c>
      <c r="H48" s="38"/>
      <c r="I48" s="115"/>
      <c r="J48" s="70"/>
    </row>
    <row r="49" spans="1:11" s="15" customFormat="1" ht="33" customHeight="1" x14ac:dyDescent="0.2">
      <c r="A49" s="69">
        <v>38</v>
      </c>
      <c r="B49" s="154">
        <v>34300000</v>
      </c>
      <c r="C49" s="154" t="s">
        <v>48</v>
      </c>
      <c r="D49" s="12">
        <f>228392-30238</f>
        <v>198154</v>
      </c>
      <c r="E49" s="69" t="s">
        <v>17</v>
      </c>
      <c r="F49" s="37" t="s">
        <v>18</v>
      </c>
      <c r="G49" s="37" t="s">
        <v>19</v>
      </c>
      <c r="H49" s="38" t="s">
        <v>20</v>
      </c>
      <c r="I49" s="90"/>
      <c r="J49" s="3"/>
      <c r="K49" s="3"/>
    </row>
    <row r="50" spans="1:11" s="15" customFormat="1" ht="33" customHeight="1" x14ac:dyDescent="0.2">
      <c r="A50" s="69">
        <v>39</v>
      </c>
      <c r="B50" s="156"/>
      <c r="C50" s="156"/>
      <c r="D50" s="12">
        <f>4780-3000</f>
        <v>1780</v>
      </c>
      <c r="E50" s="69" t="s">
        <v>23</v>
      </c>
      <c r="F50" s="37" t="s">
        <v>25</v>
      </c>
      <c r="G50" s="37" t="s">
        <v>26</v>
      </c>
      <c r="H50" s="38"/>
      <c r="I50" s="90"/>
      <c r="J50" s="3"/>
      <c r="K50" s="3"/>
    </row>
    <row r="51" spans="1:11" s="15" customFormat="1" ht="33" customHeight="1" x14ac:dyDescent="0.2">
      <c r="A51" s="69">
        <v>40</v>
      </c>
      <c r="B51" s="155"/>
      <c r="C51" s="155"/>
      <c r="D51" s="20">
        <v>7705</v>
      </c>
      <c r="E51" s="69" t="s">
        <v>23</v>
      </c>
      <c r="F51" s="37" t="s">
        <v>150</v>
      </c>
      <c r="G51" s="37" t="s">
        <v>151</v>
      </c>
      <c r="H51" s="38"/>
      <c r="I51" s="90"/>
      <c r="J51" s="3"/>
      <c r="K51" s="3"/>
    </row>
    <row r="52" spans="1:11" s="3" customFormat="1" ht="35.25" customHeight="1" x14ac:dyDescent="0.2">
      <c r="A52" s="69">
        <v>41</v>
      </c>
      <c r="B52" s="154">
        <v>34900000</v>
      </c>
      <c r="C52" s="154" t="s">
        <v>49</v>
      </c>
      <c r="D52" s="20">
        <f>9990-279</f>
        <v>9711</v>
      </c>
      <c r="E52" s="69" t="s">
        <v>23</v>
      </c>
      <c r="F52" s="37" t="s">
        <v>18</v>
      </c>
      <c r="G52" s="37" t="s">
        <v>19</v>
      </c>
      <c r="H52" s="38"/>
      <c r="I52" s="96"/>
      <c r="J52" s="70"/>
    </row>
    <row r="53" spans="1:11" s="3" customFormat="1" ht="35.25" customHeight="1" x14ac:dyDescent="0.2">
      <c r="A53" s="69">
        <v>42</v>
      </c>
      <c r="B53" s="155"/>
      <c r="C53" s="155"/>
      <c r="D53" s="12">
        <v>279</v>
      </c>
      <c r="E53" s="69" t="s">
        <v>23</v>
      </c>
      <c r="F53" s="37" t="s">
        <v>25</v>
      </c>
      <c r="G53" s="37" t="s">
        <v>26</v>
      </c>
      <c r="H53" s="38"/>
      <c r="I53" s="96"/>
      <c r="J53" s="70"/>
    </row>
    <row r="54" spans="1:11" s="15" customFormat="1" ht="33" customHeight="1" x14ac:dyDescent="0.2">
      <c r="A54" s="69">
        <v>43</v>
      </c>
      <c r="B54" s="69">
        <v>35100000</v>
      </c>
      <c r="C54" s="69" t="s">
        <v>50</v>
      </c>
      <c r="D54" s="12">
        <f>40000-30010</f>
        <v>9990</v>
      </c>
      <c r="E54" s="69" t="s">
        <v>23</v>
      </c>
      <c r="F54" s="37" t="s">
        <v>18</v>
      </c>
      <c r="G54" s="37" t="s">
        <v>19</v>
      </c>
      <c r="H54" s="69"/>
      <c r="I54" s="86"/>
      <c r="J54" s="86"/>
      <c r="K54" s="3"/>
    </row>
    <row r="55" spans="1:11" s="15" customFormat="1" ht="37.5" customHeight="1" x14ac:dyDescent="0.2">
      <c r="A55" s="69">
        <v>44</v>
      </c>
      <c r="B55" s="69">
        <v>35800000</v>
      </c>
      <c r="C55" s="69" t="s">
        <v>123</v>
      </c>
      <c r="D55" s="12">
        <f>9000-1000</f>
        <v>8000</v>
      </c>
      <c r="E55" s="69" t="s">
        <v>23</v>
      </c>
      <c r="F55" s="37" t="s">
        <v>18</v>
      </c>
      <c r="G55" s="37" t="s">
        <v>19</v>
      </c>
      <c r="H55" s="69"/>
      <c r="I55" s="4"/>
      <c r="J55" s="3"/>
      <c r="K55" s="3"/>
    </row>
    <row r="56" spans="1:11" s="3" customFormat="1" ht="33.75" customHeight="1" x14ac:dyDescent="0.2">
      <c r="A56" s="69">
        <v>45</v>
      </c>
      <c r="B56" s="154">
        <v>39100000</v>
      </c>
      <c r="C56" s="154" t="s">
        <v>52</v>
      </c>
      <c r="D56" s="12">
        <f>54425-20000</f>
        <v>34425</v>
      </c>
      <c r="E56" s="69" t="s">
        <v>17</v>
      </c>
      <c r="F56" s="37" t="s">
        <v>18</v>
      </c>
      <c r="G56" s="37" t="s">
        <v>19</v>
      </c>
      <c r="H56" s="38" t="s">
        <v>20</v>
      </c>
      <c r="I56" s="4"/>
      <c r="K56" s="73"/>
    </row>
    <row r="57" spans="1:11" s="3" customFormat="1" ht="33.75" customHeight="1" x14ac:dyDescent="0.2">
      <c r="A57" s="69">
        <v>46</v>
      </c>
      <c r="B57" s="156"/>
      <c r="C57" s="156"/>
      <c r="D57" s="20">
        <f>6000+2900</f>
        <v>8900</v>
      </c>
      <c r="E57" s="69" t="s">
        <v>23</v>
      </c>
      <c r="F57" s="37" t="s">
        <v>25</v>
      </c>
      <c r="G57" s="37" t="s">
        <v>26</v>
      </c>
      <c r="H57" s="38"/>
      <c r="I57" s="4"/>
      <c r="K57" s="73"/>
    </row>
    <row r="58" spans="1:11" s="3" customFormat="1" ht="33.75" customHeight="1" x14ac:dyDescent="0.2">
      <c r="A58" s="69">
        <v>47</v>
      </c>
      <c r="B58" s="155"/>
      <c r="C58" s="155"/>
      <c r="D58" s="12">
        <v>1000</v>
      </c>
      <c r="E58" s="69" t="s">
        <v>23</v>
      </c>
      <c r="F58" s="37" t="s">
        <v>25</v>
      </c>
      <c r="G58" s="37" t="s">
        <v>26</v>
      </c>
      <c r="H58" s="38"/>
      <c r="I58" s="4"/>
      <c r="K58" s="73"/>
    </row>
    <row r="59" spans="1:11" s="15" customFormat="1" ht="31.5" customHeight="1" x14ac:dyDescent="0.2">
      <c r="A59" s="69">
        <v>48</v>
      </c>
      <c r="B59" s="68">
        <v>39200000</v>
      </c>
      <c r="C59" s="68" t="s">
        <v>53</v>
      </c>
      <c r="D59" s="12">
        <v>9900</v>
      </c>
      <c r="E59" s="69" t="s">
        <v>23</v>
      </c>
      <c r="F59" s="37" t="s">
        <v>18</v>
      </c>
      <c r="G59" s="37" t="s">
        <v>19</v>
      </c>
      <c r="H59" s="69"/>
      <c r="I59" s="96"/>
      <c r="J59" s="3"/>
      <c r="K59" s="3"/>
    </row>
    <row r="60" spans="1:11" s="15" customFormat="1" ht="37.5" customHeight="1" x14ac:dyDescent="0.2">
      <c r="A60" s="69">
        <v>49</v>
      </c>
      <c r="B60" s="69">
        <v>39500000</v>
      </c>
      <c r="C60" s="69" t="s">
        <v>124</v>
      </c>
      <c r="D60" s="12">
        <f>6700+2100</f>
        <v>8800</v>
      </c>
      <c r="E60" s="69" t="s">
        <v>23</v>
      </c>
      <c r="F60" s="37" t="s">
        <v>18</v>
      </c>
      <c r="G60" s="37" t="s">
        <v>19</v>
      </c>
      <c r="H60" s="69"/>
      <c r="I60" s="92"/>
      <c r="J60" s="3"/>
      <c r="K60" s="3"/>
    </row>
    <row r="61" spans="1:11" s="3" customFormat="1" ht="33.75" customHeight="1" x14ac:dyDescent="0.2">
      <c r="A61" s="69">
        <v>50</v>
      </c>
      <c r="B61" s="154">
        <v>39700000</v>
      </c>
      <c r="C61" s="154" t="s">
        <v>125</v>
      </c>
      <c r="D61" s="12">
        <f>5120-1400</f>
        <v>3720</v>
      </c>
      <c r="E61" s="69" t="s">
        <v>23</v>
      </c>
      <c r="F61" s="37" t="s">
        <v>18</v>
      </c>
      <c r="G61" s="37" t="s">
        <v>19</v>
      </c>
      <c r="H61" s="69"/>
      <c r="I61" s="92"/>
    </row>
    <row r="62" spans="1:11" s="3" customFormat="1" ht="33.75" customHeight="1" x14ac:dyDescent="0.2">
      <c r="A62" s="69">
        <v>51</v>
      </c>
      <c r="B62" s="155"/>
      <c r="C62" s="155"/>
      <c r="D62" s="20">
        <f>6180</f>
        <v>6180</v>
      </c>
      <c r="E62" s="69" t="s">
        <v>23</v>
      </c>
      <c r="F62" s="37" t="s">
        <v>25</v>
      </c>
      <c r="G62" s="37" t="s">
        <v>26</v>
      </c>
      <c r="H62" s="69"/>
      <c r="I62" s="96"/>
    </row>
    <row r="63" spans="1:11" s="3" customFormat="1" ht="33.75" customHeight="1" x14ac:dyDescent="0.2">
      <c r="A63" s="69">
        <v>52</v>
      </c>
      <c r="B63" s="69">
        <v>39800000</v>
      </c>
      <c r="C63" s="69" t="s">
        <v>126</v>
      </c>
      <c r="D63" s="12">
        <v>1000</v>
      </c>
      <c r="E63" s="69" t="s">
        <v>23</v>
      </c>
      <c r="F63" s="37" t="s">
        <v>18</v>
      </c>
      <c r="G63" s="37" t="s">
        <v>19</v>
      </c>
      <c r="H63" s="40"/>
      <c r="I63" s="92"/>
    </row>
    <row r="64" spans="1:11" s="3" customFormat="1" ht="32.25" customHeight="1" x14ac:dyDescent="0.2">
      <c r="A64" s="69">
        <v>53</v>
      </c>
      <c r="B64" s="88">
        <v>41100000</v>
      </c>
      <c r="C64" s="69" t="s">
        <v>127</v>
      </c>
      <c r="D64" s="12">
        <v>2000</v>
      </c>
      <c r="E64" s="69" t="s">
        <v>23</v>
      </c>
      <c r="F64" s="37" t="s">
        <v>18</v>
      </c>
      <c r="G64" s="37" t="s">
        <v>19</v>
      </c>
      <c r="H64" s="38"/>
      <c r="I64" s="4"/>
      <c r="J64" s="70"/>
      <c r="K64" s="71"/>
    </row>
    <row r="65" spans="1:11" s="3" customFormat="1" ht="34.5" customHeight="1" x14ac:dyDescent="0.2">
      <c r="A65" s="69">
        <v>54</v>
      </c>
      <c r="B65" s="116">
        <v>42100000</v>
      </c>
      <c r="C65" s="68" t="s">
        <v>128</v>
      </c>
      <c r="D65" s="12">
        <f>2000+240</f>
        <v>2240</v>
      </c>
      <c r="E65" s="69" t="s">
        <v>23</v>
      </c>
      <c r="F65" s="37" t="s">
        <v>18</v>
      </c>
      <c r="G65" s="37" t="s">
        <v>19</v>
      </c>
      <c r="H65" s="38"/>
      <c r="I65" s="70"/>
    </row>
    <row r="66" spans="1:11" s="3" customFormat="1" ht="35.25" customHeight="1" x14ac:dyDescent="0.2">
      <c r="A66" s="69">
        <v>55</v>
      </c>
      <c r="B66" s="69">
        <v>42400000</v>
      </c>
      <c r="C66" s="69" t="s">
        <v>54</v>
      </c>
      <c r="D66" s="12">
        <v>3000</v>
      </c>
      <c r="E66" s="69" t="s">
        <v>23</v>
      </c>
      <c r="F66" s="37" t="s">
        <v>18</v>
      </c>
      <c r="G66" s="37" t="s">
        <v>19</v>
      </c>
      <c r="H66" s="38"/>
      <c r="I66" s="90"/>
    </row>
    <row r="67" spans="1:11" s="15" customFormat="1" ht="33.75" customHeight="1" x14ac:dyDescent="0.2">
      <c r="A67" s="69">
        <v>56</v>
      </c>
      <c r="B67" s="69">
        <v>42500000</v>
      </c>
      <c r="C67" s="69" t="s">
        <v>55</v>
      </c>
      <c r="D67" s="20">
        <f>70000-9600</f>
        <v>60400</v>
      </c>
      <c r="E67" s="69" t="s">
        <v>32</v>
      </c>
      <c r="F67" s="37" t="s">
        <v>18</v>
      </c>
      <c r="G67" s="37" t="s">
        <v>19</v>
      </c>
      <c r="H67" s="38"/>
      <c r="I67" s="90"/>
      <c r="J67" s="70"/>
      <c r="K67" s="3"/>
    </row>
    <row r="68" spans="1:11" s="15" customFormat="1" ht="34.5" customHeight="1" x14ac:dyDescent="0.2">
      <c r="A68" s="69">
        <v>57</v>
      </c>
      <c r="B68" s="69">
        <v>42600000</v>
      </c>
      <c r="C68" s="69" t="s">
        <v>56</v>
      </c>
      <c r="D68" s="12">
        <v>9900</v>
      </c>
      <c r="E68" s="69" t="s">
        <v>23</v>
      </c>
      <c r="F68" s="37" t="s">
        <v>18</v>
      </c>
      <c r="G68" s="37" t="s">
        <v>19</v>
      </c>
      <c r="H68" s="38"/>
      <c r="I68" s="96"/>
      <c r="J68" s="71"/>
      <c r="K68" s="3"/>
    </row>
    <row r="69" spans="1:11" s="3" customFormat="1" ht="32.25" customHeight="1" x14ac:dyDescent="0.2">
      <c r="A69" s="69">
        <v>58</v>
      </c>
      <c r="B69" s="154">
        <v>42900000</v>
      </c>
      <c r="C69" s="154" t="s">
        <v>57</v>
      </c>
      <c r="D69" s="12">
        <f>9806-7990</f>
        <v>1816</v>
      </c>
      <c r="E69" s="69" t="s">
        <v>23</v>
      </c>
      <c r="F69" s="37" t="s">
        <v>18</v>
      </c>
      <c r="G69" s="37" t="s">
        <v>19</v>
      </c>
      <c r="H69" s="38"/>
      <c r="I69" s="90"/>
      <c r="J69" s="70"/>
    </row>
    <row r="70" spans="1:11" s="3" customFormat="1" ht="32.25" customHeight="1" x14ac:dyDescent="0.2">
      <c r="A70" s="69">
        <v>59</v>
      </c>
      <c r="B70" s="155"/>
      <c r="C70" s="155"/>
      <c r="D70" s="20">
        <v>7990</v>
      </c>
      <c r="E70" s="69" t="s">
        <v>23</v>
      </c>
      <c r="F70" s="37" t="s">
        <v>25</v>
      </c>
      <c r="G70" s="37" t="s">
        <v>26</v>
      </c>
      <c r="H70" s="38"/>
      <c r="I70" s="96"/>
      <c r="J70" s="70"/>
    </row>
    <row r="71" spans="1:11" s="15" customFormat="1" ht="33.75" customHeight="1" x14ac:dyDescent="0.2">
      <c r="A71" s="69">
        <v>60</v>
      </c>
      <c r="B71" s="69">
        <v>43800000</v>
      </c>
      <c r="C71" s="69" t="s">
        <v>129</v>
      </c>
      <c r="D71" s="20">
        <f>390010-4780</f>
        <v>385230</v>
      </c>
      <c r="E71" s="69" t="s">
        <v>32</v>
      </c>
      <c r="F71" s="37" t="s">
        <v>18</v>
      </c>
      <c r="G71" s="37" t="s">
        <v>19</v>
      </c>
      <c r="H71" s="38"/>
      <c r="I71" s="96"/>
      <c r="J71" s="70"/>
      <c r="K71" s="3"/>
    </row>
    <row r="72" spans="1:11" s="15" customFormat="1" ht="33" customHeight="1" x14ac:dyDescent="0.2">
      <c r="A72" s="69">
        <v>61</v>
      </c>
      <c r="B72" s="69">
        <v>44100000</v>
      </c>
      <c r="C72" s="69" t="s">
        <v>58</v>
      </c>
      <c r="D72" s="12">
        <f>9000+900</f>
        <v>9900</v>
      </c>
      <c r="E72" s="69" t="s">
        <v>23</v>
      </c>
      <c r="F72" s="37" t="s">
        <v>18</v>
      </c>
      <c r="G72" s="37" t="s">
        <v>19</v>
      </c>
      <c r="H72" s="38"/>
      <c r="I72" s="91"/>
      <c r="J72" s="3"/>
      <c r="K72" s="3"/>
    </row>
    <row r="73" spans="1:11" s="15" customFormat="1" ht="33" customHeight="1" x14ac:dyDescent="0.2">
      <c r="A73" s="69">
        <v>62</v>
      </c>
      <c r="B73" s="69">
        <v>44300000</v>
      </c>
      <c r="C73" s="69" t="s">
        <v>60</v>
      </c>
      <c r="D73" s="12">
        <f>30727-13300</f>
        <v>17427</v>
      </c>
      <c r="E73" s="69" t="s">
        <v>32</v>
      </c>
      <c r="F73" s="37" t="s">
        <v>18</v>
      </c>
      <c r="G73" s="37" t="s">
        <v>19</v>
      </c>
      <c r="H73" s="69"/>
      <c r="I73" s="86"/>
      <c r="J73" s="86"/>
      <c r="K73" s="3"/>
    </row>
    <row r="74" spans="1:11" s="15" customFormat="1" ht="31.5" customHeight="1" x14ac:dyDescent="0.2">
      <c r="A74" s="69">
        <v>63</v>
      </c>
      <c r="B74" s="68">
        <v>44400000</v>
      </c>
      <c r="C74" s="68" t="s">
        <v>61</v>
      </c>
      <c r="D74" s="12">
        <f>300000+22500</f>
        <v>322500</v>
      </c>
      <c r="E74" s="69" t="s">
        <v>32</v>
      </c>
      <c r="F74" s="37" t="s">
        <v>18</v>
      </c>
      <c r="G74" s="37" t="s">
        <v>19</v>
      </c>
      <c r="H74" s="38"/>
      <c r="I74" s="94"/>
      <c r="J74" s="3"/>
      <c r="K74" s="3"/>
    </row>
    <row r="75" spans="1:11" s="17" customFormat="1" ht="36.75" customHeight="1" x14ac:dyDescent="0.2">
      <c r="A75" s="69">
        <v>64</v>
      </c>
      <c r="B75" s="47">
        <v>44500000</v>
      </c>
      <c r="C75" s="69" t="s">
        <v>62</v>
      </c>
      <c r="D75" s="12">
        <f>85103-7900</f>
        <v>77203</v>
      </c>
      <c r="E75" s="69" t="s">
        <v>32</v>
      </c>
      <c r="F75" s="37" t="s">
        <v>18</v>
      </c>
      <c r="G75" s="37" t="s">
        <v>19</v>
      </c>
      <c r="H75" s="69"/>
      <c r="I75" s="87"/>
      <c r="J75" s="2"/>
      <c r="K75" s="2"/>
    </row>
    <row r="76" spans="1:11" s="15" customFormat="1" ht="31.5" customHeight="1" x14ac:dyDescent="0.2">
      <c r="A76" s="69">
        <v>65</v>
      </c>
      <c r="B76" s="69">
        <v>44800000</v>
      </c>
      <c r="C76" s="69" t="s">
        <v>63</v>
      </c>
      <c r="D76" s="12">
        <v>9000</v>
      </c>
      <c r="E76" s="69" t="s">
        <v>23</v>
      </c>
      <c r="F76" s="37" t="s">
        <v>18</v>
      </c>
      <c r="G76" s="37" t="s">
        <v>19</v>
      </c>
      <c r="H76" s="38"/>
      <c r="I76" s="96"/>
      <c r="J76" s="3"/>
      <c r="K76" s="3"/>
    </row>
    <row r="77" spans="1:11" s="15" customFormat="1" ht="33.75" customHeight="1" x14ac:dyDescent="0.2">
      <c r="A77" s="69">
        <v>66</v>
      </c>
      <c r="B77" s="154">
        <v>45200000</v>
      </c>
      <c r="C77" s="154" t="s">
        <v>64</v>
      </c>
      <c r="D77" s="20">
        <f>3434889+700</f>
        <v>3435589</v>
      </c>
      <c r="E77" s="69" t="s">
        <v>32</v>
      </c>
      <c r="F77" s="37" t="s">
        <v>18</v>
      </c>
      <c r="G77" s="37" t="s">
        <v>19</v>
      </c>
      <c r="H77" s="48"/>
      <c r="I77" s="93"/>
      <c r="J77" s="87"/>
      <c r="K77" s="70"/>
    </row>
    <row r="78" spans="1:11" s="15" customFormat="1" ht="33.75" customHeight="1" x14ac:dyDescent="0.2">
      <c r="A78" s="69">
        <v>67</v>
      </c>
      <c r="B78" s="155"/>
      <c r="C78" s="155"/>
      <c r="D78" s="12">
        <v>800000</v>
      </c>
      <c r="E78" s="69" t="s">
        <v>32</v>
      </c>
      <c r="F78" s="37" t="s">
        <v>25</v>
      </c>
      <c r="G78" s="37" t="s">
        <v>26</v>
      </c>
      <c r="H78" s="38"/>
      <c r="I78" s="93"/>
      <c r="J78" s="87"/>
      <c r="K78" s="70"/>
    </row>
    <row r="79" spans="1:11" s="3" customFormat="1" ht="34.5" customHeight="1" x14ac:dyDescent="0.2">
      <c r="A79" s="69">
        <v>68</v>
      </c>
      <c r="B79" s="68">
        <v>45300000</v>
      </c>
      <c r="C79" s="68" t="s">
        <v>65</v>
      </c>
      <c r="D79" s="20">
        <v>30400</v>
      </c>
      <c r="E79" s="69" t="s">
        <v>32</v>
      </c>
      <c r="F79" s="37" t="s">
        <v>25</v>
      </c>
      <c r="G79" s="37" t="s">
        <v>26</v>
      </c>
      <c r="H79" s="38"/>
      <c r="I79" s="92"/>
      <c r="J79" s="92"/>
      <c r="K79" s="70"/>
    </row>
    <row r="80" spans="1:11" s="17" customFormat="1" ht="31.5" customHeight="1" x14ac:dyDescent="0.2">
      <c r="A80" s="69">
        <v>69</v>
      </c>
      <c r="B80" s="69">
        <v>45400000</v>
      </c>
      <c r="C80" s="69" t="s">
        <v>66</v>
      </c>
      <c r="D80" s="20">
        <f>4604990-8905</f>
        <v>4596085</v>
      </c>
      <c r="E80" s="69" t="s">
        <v>32</v>
      </c>
      <c r="F80" s="37" t="s">
        <v>18</v>
      </c>
      <c r="G80" s="37" t="s">
        <v>19</v>
      </c>
      <c r="H80" s="69"/>
      <c r="I80" s="70"/>
      <c r="J80" s="70"/>
      <c r="K80" s="2"/>
    </row>
    <row r="81" spans="1:11" s="17" customFormat="1" ht="36.75" customHeight="1" x14ac:dyDescent="0.2">
      <c r="A81" s="69">
        <v>70</v>
      </c>
      <c r="B81" s="47">
        <v>48400000</v>
      </c>
      <c r="C81" s="69" t="s">
        <v>130</v>
      </c>
      <c r="D81" s="32">
        <v>25000</v>
      </c>
      <c r="E81" s="69" t="s">
        <v>23</v>
      </c>
      <c r="F81" s="37" t="s">
        <v>18</v>
      </c>
      <c r="G81" s="37" t="s">
        <v>19</v>
      </c>
      <c r="H81" s="38" t="s">
        <v>82</v>
      </c>
      <c r="I81" s="4"/>
      <c r="J81" s="2"/>
      <c r="K81" s="2"/>
    </row>
    <row r="82" spans="1:11" s="15" customFormat="1" ht="31.5" customHeight="1" x14ac:dyDescent="0.2">
      <c r="A82" s="69">
        <v>71</v>
      </c>
      <c r="B82" s="129">
        <v>50100000</v>
      </c>
      <c r="C82" s="129" t="s">
        <v>70</v>
      </c>
      <c r="D82" s="12">
        <f>165160-134330</f>
        <v>30830</v>
      </c>
      <c r="E82" s="69" t="s">
        <v>17</v>
      </c>
      <c r="F82" s="37" t="s">
        <v>18</v>
      </c>
      <c r="G82" s="37" t="s">
        <v>19</v>
      </c>
      <c r="H82" s="38" t="s">
        <v>20</v>
      </c>
      <c r="I82" s="99"/>
      <c r="J82" s="100"/>
      <c r="K82" s="3"/>
    </row>
    <row r="83" spans="1:11" s="15" customFormat="1" ht="37.5" customHeight="1" x14ac:dyDescent="0.2">
      <c r="A83" s="69">
        <v>72</v>
      </c>
      <c r="B83" s="129"/>
      <c r="C83" s="129"/>
      <c r="D83" s="12">
        <f>725000+40000</f>
        <v>765000</v>
      </c>
      <c r="E83" s="69" t="s">
        <v>32</v>
      </c>
      <c r="F83" s="37" t="s">
        <v>18</v>
      </c>
      <c r="G83" s="37" t="s">
        <v>19</v>
      </c>
      <c r="H83" s="38"/>
      <c r="I83" s="99"/>
      <c r="J83" s="100">
        <f>265000-250000</f>
        <v>15000</v>
      </c>
      <c r="K83" s="3"/>
    </row>
    <row r="84" spans="1:11" s="15" customFormat="1" ht="39.75" customHeight="1" x14ac:dyDescent="0.2">
      <c r="A84" s="69">
        <v>73</v>
      </c>
      <c r="B84" s="129"/>
      <c r="C84" s="129"/>
      <c r="D84" s="12">
        <f>235000+20000</f>
        <v>255000</v>
      </c>
      <c r="E84" s="69" t="s">
        <v>23</v>
      </c>
      <c r="F84" s="37" t="s">
        <v>18</v>
      </c>
      <c r="G84" s="37" t="s">
        <v>19</v>
      </c>
      <c r="H84" s="38" t="s">
        <v>71</v>
      </c>
      <c r="I84" s="99"/>
      <c r="J84" s="100"/>
      <c r="K84" s="3"/>
    </row>
    <row r="85" spans="1:11" s="3" customFormat="1" ht="49.5" customHeight="1" x14ac:dyDescent="0.2">
      <c r="A85" s="69">
        <v>74</v>
      </c>
      <c r="B85" s="69">
        <v>50500000</v>
      </c>
      <c r="C85" s="69" t="s">
        <v>74</v>
      </c>
      <c r="D85" s="12">
        <f>2500+5000</f>
        <v>7500</v>
      </c>
      <c r="E85" s="69" t="s">
        <v>23</v>
      </c>
      <c r="F85" s="37" t="s">
        <v>18</v>
      </c>
      <c r="G85" s="37" t="s">
        <v>19</v>
      </c>
      <c r="H85" s="38"/>
      <c r="I85" s="4"/>
      <c r="J85" s="71"/>
    </row>
    <row r="86" spans="1:11" s="3" customFormat="1" ht="39" customHeight="1" x14ac:dyDescent="0.2">
      <c r="A86" s="69">
        <v>75</v>
      </c>
      <c r="B86" s="69">
        <v>50700000</v>
      </c>
      <c r="C86" s="69" t="s">
        <v>75</v>
      </c>
      <c r="D86" s="12">
        <v>5000</v>
      </c>
      <c r="E86" s="69" t="s">
        <v>23</v>
      </c>
      <c r="F86" s="37" t="s">
        <v>18</v>
      </c>
      <c r="G86" s="37" t="s">
        <v>19</v>
      </c>
      <c r="H86" s="38"/>
      <c r="I86" s="70"/>
      <c r="J86" s="70"/>
      <c r="K86" s="71"/>
    </row>
    <row r="87" spans="1:11" s="3" customFormat="1" ht="39" customHeight="1" x14ac:dyDescent="0.2">
      <c r="A87" s="69">
        <v>76</v>
      </c>
      <c r="B87" s="69">
        <v>50800000</v>
      </c>
      <c r="C87" s="69" t="s">
        <v>131</v>
      </c>
      <c r="D87" s="12">
        <v>3000</v>
      </c>
      <c r="E87" s="69" t="s">
        <v>23</v>
      </c>
      <c r="F87" s="37" t="s">
        <v>25</v>
      </c>
      <c r="G87" s="37" t="s">
        <v>26</v>
      </c>
      <c r="H87" s="38"/>
      <c r="I87" s="70"/>
      <c r="J87" s="70"/>
      <c r="K87" s="71"/>
    </row>
    <row r="88" spans="1:11" s="4" customFormat="1" ht="31.5" customHeight="1" x14ac:dyDescent="0.2">
      <c r="A88" s="69">
        <v>77</v>
      </c>
      <c r="B88" s="154">
        <v>55300000</v>
      </c>
      <c r="C88" s="154" t="s">
        <v>76</v>
      </c>
      <c r="D88" s="12">
        <v>30000</v>
      </c>
      <c r="E88" s="69" t="s">
        <v>23</v>
      </c>
      <c r="F88" s="37" t="s">
        <v>18</v>
      </c>
      <c r="G88" s="37" t="s">
        <v>19</v>
      </c>
      <c r="H88" s="38" t="s">
        <v>28</v>
      </c>
    </row>
    <row r="89" spans="1:11" s="4" customFormat="1" ht="33.75" customHeight="1" x14ac:dyDescent="0.2">
      <c r="A89" s="69">
        <v>78</v>
      </c>
      <c r="B89" s="155"/>
      <c r="C89" s="155"/>
      <c r="D89" s="12">
        <v>9900</v>
      </c>
      <c r="E89" s="69" t="s">
        <v>23</v>
      </c>
      <c r="F89" s="37" t="s">
        <v>18</v>
      </c>
      <c r="G89" s="37" t="s">
        <v>19</v>
      </c>
      <c r="H89" s="38"/>
    </row>
    <row r="90" spans="1:11" s="15" customFormat="1" ht="37.5" customHeight="1" x14ac:dyDescent="0.2">
      <c r="A90" s="69">
        <v>79</v>
      </c>
      <c r="B90" s="69">
        <v>60100000</v>
      </c>
      <c r="C90" s="69" t="s">
        <v>77</v>
      </c>
      <c r="D90" s="12">
        <v>9900</v>
      </c>
      <c r="E90" s="69" t="s">
        <v>23</v>
      </c>
      <c r="F90" s="37" t="s">
        <v>18</v>
      </c>
      <c r="G90" s="37" t="s">
        <v>19</v>
      </c>
      <c r="H90" s="38"/>
      <c r="I90" s="86"/>
      <c r="J90" s="83"/>
      <c r="K90" s="71"/>
    </row>
    <row r="91" spans="1:11" s="15" customFormat="1" ht="36.75" customHeight="1" x14ac:dyDescent="0.2">
      <c r="A91" s="69">
        <v>80</v>
      </c>
      <c r="B91" s="69">
        <v>63100000</v>
      </c>
      <c r="C91" s="69" t="s">
        <v>78</v>
      </c>
      <c r="D91" s="12">
        <v>9900</v>
      </c>
      <c r="E91" s="69" t="s">
        <v>23</v>
      </c>
      <c r="F91" s="37" t="s">
        <v>18</v>
      </c>
      <c r="G91" s="37" t="s">
        <v>19</v>
      </c>
      <c r="H91" s="38"/>
      <c r="I91" s="96"/>
      <c r="J91" s="71"/>
      <c r="K91" s="3"/>
    </row>
    <row r="92" spans="1:11" s="23" customFormat="1" ht="32.25" customHeight="1" x14ac:dyDescent="0.2">
      <c r="A92" s="69">
        <v>81</v>
      </c>
      <c r="B92" s="154">
        <v>63700000</v>
      </c>
      <c r="C92" s="154" t="s">
        <v>79</v>
      </c>
      <c r="D92" s="12">
        <f>2000+1150</f>
        <v>3150</v>
      </c>
      <c r="E92" s="69" t="s">
        <v>23</v>
      </c>
      <c r="F92" s="37" t="s">
        <v>18</v>
      </c>
      <c r="G92" s="37" t="s">
        <v>19</v>
      </c>
      <c r="H92" s="38" t="s">
        <v>69</v>
      </c>
      <c r="I92" s="4"/>
      <c r="J92" s="4">
        <f>10000-2000</f>
        <v>8000</v>
      </c>
      <c r="K92" s="4"/>
    </row>
    <row r="93" spans="1:11" s="23" customFormat="1" ht="30.75" customHeight="1" x14ac:dyDescent="0.2">
      <c r="A93" s="69">
        <v>82</v>
      </c>
      <c r="B93" s="156"/>
      <c r="C93" s="156"/>
      <c r="D93" s="12">
        <v>80000</v>
      </c>
      <c r="E93" s="69" t="s">
        <v>32</v>
      </c>
      <c r="F93" s="37" t="s">
        <v>18</v>
      </c>
      <c r="G93" s="37" t="s">
        <v>19</v>
      </c>
      <c r="H93" s="38"/>
      <c r="I93" s="4"/>
      <c r="J93" s="4"/>
      <c r="K93" s="4"/>
    </row>
    <row r="94" spans="1:11" s="23" customFormat="1" ht="30.75" customHeight="1" x14ac:dyDescent="0.2">
      <c r="A94" s="69">
        <v>83</v>
      </c>
      <c r="B94" s="155"/>
      <c r="C94" s="155"/>
      <c r="D94" s="20">
        <v>3850</v>
      </c>
      <c r="E94" s="69" t="s">
        <v>32</v>
      </c>
      <c r="F94" s="37" t="s">
        <v>150</v>
      </c>
      <c r="G94" s="37" t="s">
        <v>151</v>
      </c>
      <c r="H94" s="117"/>
      <c r="I94" s="4"/>
      <c r="J94" s="4"/>
      <c r="K94" s="4"/>
    </row>
    <row r="95" spans="1:11" s="3" customFormat="1" ht="39" customHeight="1" x14ac:dyDescent="0.2">
      <c r="A95" s="69">
        <v>84</v>
      </c>
      <c r="B95" s="69">
        <v>65100000</v>
      </c>
      <c r="C95" s="69" t="s">
        <v>132</v>
      </c>
      <c r="D95" s="12">
        <f>2400+240</f>
        <v>2640</v>
      </c>
      <c r="E95" s="69" t="s">
        <v>23</v>
      </c>
      <c r="F95" s="37" t="s">
        <v>18</v>
      </c>
      <c r="G95" s="37" t="s">
        <v>19</v>
      </c>
      <c r="H95" s="38"/>
      <c r="I95" s="4"/>
    </row>
    <row r="96" spans="1:11" s="3" customFormat="1" ht="35.25" customHeight="1" x14ac:dyDescent="0.2">
      <c r="A96" s="69">
        <v>85</v>
      </c>
      <c r="B96" s="154">
        <v>66500000</v>
      </c>
      <c r="C96" s="154" t="s">
        <v>84</v>
      </c>
      <c r="D96" s="43">
        <f>300000-85000</f>
        <v>215000</v>
      </c>
      <c r="E96" s="69" t="s">
        <v>17</v>
      </c>
      <c r="F96" s="37" t="s">
        <v>18</v>
      </c>
      <c r="G96" s="37" t="s">
        <v>19</v>
      </c>
      <c r="H96" s="38" t="s">
        <v>20</v>
      </c>
      <c r="I96" s="83"/>
      <c r="J96" s="83"/>
      <c r="K96" s="71"/>
    </row>
    <row r="97" spans="1:11" s="3" customFormat="1" ht="35.25" customHeight="1" x14ac:dyDescent="0.2">
      <c r="A97" s="69">
        <v>86</v>
      </c>
      <c r="B97" s="155"/>
      <c r="C97" s="155"/>
      <c r="D97" s="43">
        <v>130000</v>
      </c>
      <c r="E97" s="69" t="s">
        <v>32</v>
      </c>
      <c r="F97" s="37" t="s">
        <v>25</v>
      </c>
      <c r="G97" s="37" t="s">
        <v>26</v>
      </c>
      <c r="H97" s="38"/>
      <c r="I97" s="83"/>
      <c r="J97" s="83"/>
      <c r="K97" s="71"/>
    </row>
    <row r="98" spans="1:11" s="3" customFormat="1" ht="40.5" customHeight="1" x14ac:dyDescent="0.2">
      <c r="A98" s="69">
        <v>87</v>
      </c>
      <c r="B98" s="69">
        <v>71200000</v>
      </c>
      <c r="C98" s="69" t="s">
        <v>133</v>
      </c>
      <c r="D98" s="20">
        <v>8000</v>
      </c>
      <c r="E98" s="69" t="s">
        <v>23</v>
      </c>
      <c r="F98" s="37" t="s">
        <v>25</v>
      </c>
      <c r="G98" s="37" t="s">
        <v>26</v>
      </c>
      <c r="H98" s="40"/>
      <c r="I98" s="92"/>
    </row>
    <row r="99" spans="1:11" s="3" customFormat="1" ht="33.75" customHeight="1" x14ac:dyDescent="0.2">
      <c r="A99" s="69">
        <v>88</v>
      </c>
      <c r="B99" s="69">
        <v>71300000</v>
      </c>
      <c r="C99" s="69" t="s">
        <v>169</v>
      </c>
      <c r="D99" s="20">
        <v>500</v>
      </c>
      <c r="E99" s="69" t="s">
        <v>23</v>
      </c>
      <c r="F99" s="37" t="s">
        <v>150</v>
      </c>
      <c r="G99" s="37" t="s">
        <v>151</v>
      </c>
      <c r="H99" s="40"/>
      <c r="I99" s="92"/>
    </row>
    <row r="100" spans="1:11" s="15" customFormat="1" ht="36.75" customHeight="1" x14ac:dyDescent="0.2">
      <c r="A100" s="69">
        <v>89</v>
      </c>
      <c r="B100" s="69">
        <v>71500000</v>
      </c>
      <c r="C100" s="69" t="s">
        <v>170</v>
      </c>
      <c r="D100" s="12">
        <v>1800</v>
      </c>
      <c r="E100" s="69" t="s">
        <v>23</v>
      </c>
      <c r="F100" s="37" t="s">
        <v>150</v>
      </c>
      <c r="G100" s="37" t="s">
        <v>151</v>
      </c>
      <c r="H100" s="38"/>
      <c r="I100" s="96"/>
      <c r="J100" s="71"/>
      <c r="K100" s="3"/>
    </row>
    <row r="101" spans="1:11" s="15" customFormat="1" ht="39" customHeight="1" x14ac:dyDescent="0.2">
      <c r="A101" s="69">
        <v>90</v>
      </c>
      <c r="B101" s="69">
        <v>71600000</v>
      </c>
      <c r="C101" s="69" t="s">
        <v>134</v>
      </c>
      <c r="D101" s="12">
        <v>9500</v>
      </c>
      <c r="E101" s="69" t="s">
        <v>23</v>
      </c>
      <c r="F101" s="37" t="s">
        <v>18</v>
      </c>
      <c r="G101" s="37" t="s">
        <v>19</v>
      </c>
      <c r="H101" s="38" t="s">
        <v>69</v>
      </c>
      <c r="I101" s="91"/>
      <c r="J101" s="3">
        <f>20000-9500</f>
        <v>10500</v>
      </c>
      <c r="K101" s="3"/>
    </row>
    <row r="102" spans="1:11" s="15" customFormat="1" ht="38.25" customHeight="1" x14ac:dyDescent="0.2">
      <c r="A102" s="69">
        <v>91</v>
      </c>
      <c r="B102" s="154">
        <v>72200000</v>
      </c>
      <c r="C102" s="154" t="s">
        <v>85</v>
      </c>
      <c r="D102" s="12">
        <v>9900</v>
      </c>
      <c r="E102" s="69" t="s">
        <v>23</v>
      </c>
      <c r="F102" s="37" t="s">
        <v>18</v>
      </c>
      <c r="G102" s="37" t="s">
        <v>19</v>
      </c>
      <c r="H102" s="38"/>
      <c r="I102" s="93"/>
      <c r="J102" s="92"/>
      <c r="K102" s="70"/>
    </row>
    <row r="103" spans="1:11" s="15" customFormat="1" ht="38.25" customHeight="1" x14ac:dyDescent="0.2">
      <c r="A103" s="69">
        <v>92</v>
      </c>
      <c r="B103" s="155"/>
      <c r="C103" s="155"/>
      <c r="D103" s="12">
        <v>100000</v>
      </c>
      <c r="E103" s="69" t="s">
        <v>23</v>
      </c>
      <c r="F103" s="37" t="s">
        <v>25</v>
      </c>
      <c r="G103" s="37" t="s">
        <v>26</v>
      </c>
      <c r="H103" s="38" t="s">
        <v>69</v>
      </c>
      <c r="I103" s="93"/>
      <c r="J103" s="92"/>
      <c r="K103" s="70"/>
    </row>
    <row r="104" spans="1:11" s="3" customFormat="1" ht="39" customHeight="1" x14ac:dyDescent="0.2">
      <c r="A104" s="69">
        <v>93</v>
      </c>
      <c r="B104" s="68">
        <v>72400000</v>
      </c>
      <c r="C104" s="68" t="s">
        <v>87</v>
      </c>
      <c r="D104" s="12">
        <v>500</v>
      </c>
      <c r="E104" s="69" t="s">
        <v>88</v>
      </c>
      <c r="F104" s="37" t="s">
        <v>18</v>
      </c>
      <c r="G104" s="37" t="s">
        <v>19</v>
      </c>
      <c r="H104" s="38"/>
      <c r="I104" s="4"/>
      <c r="J104" s="70"/>
    </row>
    <row r="105" spans="1:11" s="15" customFormat="1" ht="31.5" customHeight="1" x14ac:dyDescent="0.2">
      <c r="A105" s="69">
        <v>94</v>
      </c>
      <c r="B105" s="69">
        <v>75100000</v>
      </c>
      <c r="C105" s="69" t="s">
        <v>89</v>
      </c>
      <c r="D105" s="12">
        <v>10000</v>
      </c>
      <c r="E105" s="69" t="s">
        <v>23</v>
      </c>
      <c r="F105" s="37" t="s">
        <v>18</v>
      </c>
      <c r="G105" s="37" t="s">
        <v>19</v>
      </c>
      <c r="H105" s="38" t="s">
        <v>69</v>
      </c>
      <c r="I105" s="70"/>
      <c r="J105" s="92">
        <f>10000-7000</f>
        <v>3000</v>
      </c>
      <c r="K105" s="71"/>
    </row>
    <row r="106" spans="1:11" s="3" customFormat="1" ht="35.25" customHeight="1" x14ac:dyDescent="0.2">
      <c r="A106" s="69">
        <v>95</v>
      </c>
      <c r="B106" s="69">
        <v>76400000</v>
      </c>
      <c r="C106" s="69" t="s">
        <v>90</v>
      </c>
      <c r="D106" s="20">
        <f>9990-390</f>
        <v>9600</v>
      </c>
      <c r="E106" s="69" t="s">
        <v>23</v>
      </c>
      <c r="F106" s="37" t="s">
        <v>18</v>
      </c>
      <c r="G106" s="37" t="s">
        <v>19</v>
      </c>
      <c r="H106" s="38"/>
      <c r="I106" s="83"/>
    </row>
    <row r="107" spans="1:11" s="15" customFormat="1" ht="51" customHeight="1" x14ac:dyDescent="0.2">
      <c r="A107" s="69">
        <v>96</v>
      </c>
      <c r="B107" s="68">
        <v>77200000</v>
      </c>
      <c r="C107" s="68" t="s">
        <v>91</v>
      </c>
      <c r="D107" s="12">
        <f>14926548-28943</f>
        <v>14897605</v>
      </c>
      <c r="E107" s="69" t="s">
        <v>32</v>
      </c>
      <c r="F107" s="37" t="s">
        <v>18</v>
      </c>
      <c r="G107" s="37" t="s">
        <v>19</v>
      </c>
      <c r="H107" s="38"/>
      <c r="I107" s="96"/>
      <c r="J107" s="3"/>
      <c r="K107" s="3"/>
    </row>
    <row r="108" spans="1:11" s="15" customFormat="1" ht="33.75" customHeight="1" x14ac:dyDescent="0.2">
      <c r="A108" s="69">
        <v>97</v>
      </c>
      <c r="B108" s="69">
        <v>77300000</v>
      </c>
      <c r="C108" s="69" t="s">
        <v>135</v>
      </c>
      <c r="D108" s="12">
        <f>4387000+400000</f>
        <v>4787000</v>
      </c>
      <c r="E108" s="69" t="s">
        <v>32</v>
      </c>
      <c r="F108" s="37" t="s">
        <v>18</v>
      </c>
      <c r="G108" s="37" t="s">
        <v>19</v>
      </c>
      <c r="H108" s="38"/>
      <c r="I108" s="96"/>
      <c r="J108" s="71"/>
      <c r="K108" s="3"/>
    </row>
    <row r="109" spans="1:11" s="3" customFormat="1" ht="33" customHeight="1" x14ac:dyDescent="0.2">
      <c r="A109" s="69">
        <v>98</v>
      </c>
      <c r="B109" s="69">
        <v>79300000</v>
      </c>
      <c r="C109" s="69" t="s">
        <v>136</v>
      </c>
      <c r="D109" s="12">
        <v>9000</v>
      </c>
      <c r="E109" s="69" t="s">
        <v>88</v>
      </c>
      <c r="F109" s="37" t="s">
        <v>18</v>
      </c>
      <c r="G109" s="37" t="s">
        <v>19</v>
      </c>
      <c r="H109" s="38"/>
      <c r="I109" s="70"/>
      <c r="J109" s="70"/>
    </row>
    <row r="110" spans="1:11" s="3" customFormat="1" ht="33" customHeight="1" x14ac:dyDescent="0.2">
      <c r="A110" s="69">
        <v>99</v>
      </c>
      <c r="B110" s="69">
        <v>79400000</v>
      </c>
      <c r="C110" s="69" t="s">
        <v>137</v>
      </c>
      <c r="D110" s="12">
        <v>9000</v>
      </c>
      <c r="E110" s="69" t="s">
        <v>88</v>
      </c>
      <c r="F110" s="37" t="s">
        <v>18</v>
      </c>
      <c r="G110" s="37" t="s">
        <v>19</v>
      </c>
      <c r="H110" s="38"/>
      <c r="I110" s="70"/>
      <c r="J110" s="70"/>
    </row>
    <row r="111" spans="1:11" s="15" customFormat="1" ht="30" customHeight="1" x14ac:dyDescent="0.2">
      <c r="A111" s="69">
        <v>100</v>
      </c>
      <c r="B111" s="69">
        <v>79500000</v>
      </c>
      <c r="C111" s="69" t="s">
        <v>138</v>
      </c>
      <c r="D111" s="12">
        <v>5560</v>
      </c>
      <c r="E111" s="69" t="s">
        <v>23</v>
      </c>
      <c r="F111" s="37" t="s">
        <v>18</v>
      </c>
      <c r="G111" s="37" t="s">
        <v>19</v>
      </c>
      <c r="H111" s="38"/>
      <c r="I111" s="83"/>
      <c r="J111" s="92"/>
      <c r="K111" s="71"/>
    </row>
    <row r="112" spans="1:11" s="3" customFormat="1" ht="40.5" customHeight="1" x14ac:dyDescent="0.2">
      <c r="A112" s="69">
        <v>101</v>
      </c>
      <c r="B112" s="154">
        <v>79900000</v>
      </c>
      <c r="C112" s="154" t="s">
        <v>93</v>
      </c>
      <c r="D112" s="12">
        <f>5000</f>
        <v>5000</v>
      </c>
      <c r="E112" s="69" t="s">
        <v>23</v>
      </c>
      <c r="F112" s="37" t="s">
        <v>18</v>
      </c>
      <c r="G112" s="37" t="s">
        <v>19</v>
      </c>
      <c r="H112" s="38" t="s">
        <v>69</v>
      </c>
      <c r="I112" s="4"/>
    </row>
    <row r="113" spans="1:13" s="3" customFormat="1" ht="40.5" customHeight="1" x14ac:dyDescent="0.2">
      <c r="A113" s="69">
        <v>102</v>
      </c>
      <c r="B113" s="155"/>
      <c r="C113" s="155"/>
      <c r="D113" s="12">
        <v>9990</v>
      </c>
      <c r="E113" s="69" t="s">
        <v>23</v>
      </c>
      <c r="F113" s="37" t="s">
        <v>18</v>
      </c>
      <c r="G113" s="37" t="s">
        <v>19</v>
      </c>
      <c r="H113" s="38"/>
      <c r="I113" s="4"/>
    </row>
    <row r="114" spans="1:13" s="15" customFormat="1" ht="33" customHeight="1" x14ac:dyDescent="0.2">
      <c r="A114" s="69">
        <v>103</v>
      </c>
      <c r="B114" s="69">
        <v>80500000</v>
      </c>
      <c r="C114" s="69" t="s">
        <v>94</v>
      </c>
      <c r="D114" s="12">
        <v>9900</v>
      </c>
      <c r="E114" s="69" t="s">
        <v>23</v>
      </c>
      <c r="F114" s="37" t="s">
        <v>18</v>
      </c>
      <c r="G114" s="37" t="s">
        <v>19</v>
      </c>
      <c r="H114" s="38"/>
      <c r="I114" s="4"/>
      <c r="J114" s="3"/>
      <c r="K114" s="3"/>
    </row>
    <row r="115" spans="1:13" s="15" customFormat="1" ht="34.5" customHeight="1" x14ac:dyDescent="0.2">
      <c r="A115" s="69">
        <v>104</v>
      </c>
      <c r="B115" s="69">
        <v>90400000</v>
      </c>
      <c r="C115" s="69" t="s">
        <v>139</v>
      </c>
      <c r="D115" s="12">
        <v>9000</v>
      </c>
      <c r="E115" s="69" t="s">
        <v>23</v>
      </c>
      <c r="F115" s="37" t="s">
        <v>18</v>
      </c>
      <c r="G115" s="37" t="s">
        <v>19</v>
      </c>
      <c r="H115" s="38"/>
      <c r="I115" s="4"/>
      <c r="J115" s="3"/>
      <c r="K115" s="3"/>
    </row>
    <row r="116" spans="1:13" s="15" customFormat="1" ht="36" customHeight="1" x14ac:dyDescent="0.2">
      <c r="A116" s="69">
        <v>105</v>
      </c>
      <c r="B116" s="69">
        <v>90900000</v>
      </c>
      <c r="C116" s="69" t="s">
        <v>95</v>
      </c>
      <c r="D116" s="12">
        <f>39250-32250</f>
        <v>7000</v>
      </c>
      <c r="E116" s="69" t="s">
        <v>23</v>
      </c>
      <c r="F116" s="37" t="s">
        <v>18</v>
      </c>
      <c r="G116" s="37" t="s">
        <v>19</v>
      </c>
      <c r="H116" s="38"/>
      <c r="I116" s="70"/>
      <c r="J116" s="70"/>
      <c r="K116" s="71"/>
      <c r="M116" s="102"/>
    </row>
    <row r="117" spans="1:13" s="15" customFormat="1" ht="35.25" customHeight="1" x14ac:dyDescent="0.2">
      <c r="A117" s="69">
        <v>106</v>
      </c>
      <c r="B117" s="69">
        <v>92100000</v>
      </c>
      <c r="C117" s="69" t="s">
        <v>96</v>
      </c>
      <c r="D117" s="12">
        <f>9900+90</f>
        <v>9990</v>
      </c>
      <c r="E117" s="69" t="s">
        <v>23</v>
      </c>
      <c r="F117" s="37" t="s">
        <v>18</v>
      </c>
      <c r="G117" s="37" t="s">
        <v>19</v>
      </c>
      <c r="H117" s="38"/>
      <c r="I117" s="83"/>
      <c r="J117" s="3"/>
      <c r="K117" s="3"/>
    </row>
    <row r="118" spans="1:13" s="3" customFormat="1" ht="36" customHeight="1" x14ac:dyDescent="0.2">
      <c r="A118" s="69">
        <v>107</v>
      </c>
      <c r="B118" s="68">
        <v>92200000</v>
      </c>
      <c r="C118" s="68" t="s">
        <v>98</v>
      </c>
      <c r="D118" s="12">
        <v>85000</v>
      </c>
      <c r="E118" s="69" t="s">
        <v>17</v>
      </c>
      <c r="F118" s="37" t="s">
        <v>18</v>
      </c>
      <c r="G118" s="37" t="s">
        <v>19</v>
      </c>
      <c r="H118" s="38" t="s">
        <v>20</v>
      </c>
      <c r="I118" s="83"/>
      <c r="J118" s="83"/>
      <c r="K118" s="71"/>
    </row>
    <row r="119" spans="1:13" s="15" customFormat="1" ht="37.5" customHeight="1" x14ac:dyDescent="0.2">
      <c r="A119" s="69">
        <v>108</v>
      </c>
      <c r="B119" s="69">
        <v>92500000</v>
      </c>
      <c r="C119" s="69" t="s">
        <v>100</v>
      </c>
      <c r="D119" s="12">
        <f>40100-21000</f>
        <v>19100</v>
      </c>
      <c r="E119" s="69" t="s">
        <v>23</v>
      </c>
      <c r="F119" s="37" t="s">
        <v>18</v>
      </c>
      <c r="G119" s="37" t="s">
        <v>19</v>
      </c>
      <c r="H119" s="38" t="s">
        <v>69</v>
      </c>
      <c r="I119" s="90"/>
      <c r="J119" s="71"/>
      <c r="K119" s="3"/>
    </row>
    <row r="120" spans="1:13" s="3" customFormat="1" ht="15.75" x14ac:dyDescent="0.2">
      <c r="A120" s="4"/>
      <c r="B120" s="4"/>
      <c r="C120" s="118"/>
      <c r="D120" s="33"/>
      <c r="E120" s="100"/>
      <c r="F120" s="119"/>
      <c r="G120" s="100"/>
      <c r="I120" s="4"/>
    </row>
    <row r="121" spans="1:13" ht="17.25" customHeight="1" x14ac:dyDescent="0.2">
      <c r="A121" s="120"/>
      <c r="B121" s="121"/>
      <c r="C121" s="122"/>
      <c r="D121" s="36"/>
      <c r="E121" s="115"/>
      <c r="F121" s="123"/>
      <c r="G121" s="115"/>
      <c r="H121" s="124"/>
      <c r="I121" s="125"/>
    </row>
    <row r="122" spans="1:13" ht="27.75" customHeight="1" x14ac:dyDescent="0.2">
      <c r="A122" s="3"/>
      <c r="B122" s="152" t="s">
        <v>140</v>
      </c>
      <c r="C122" s="152"/>
      <c r="H122" s="126"/>
    </row>
    <row r="123" spans="1:13" ht="13.5" customHeight="1" x14ac:dyDescent="0.2">
      <c r="A123" s="3"/>
      <c r="B123" s="3"/>
      <c r="D123" s="27"/>
      <c r="E123" s="153" t="s">
        <v>102</v>
      </c>
      <c r="F123" s="153"/>
      <c r="H123" s="126"/>
    </row>
    <row r="124" spans="1:13" ht="20.25" customHeight="1" x14ac:dyDescent="0.2">
      <c r="A124" s="3"/>
      <c r="B124" s="3"/>
      <c r="H124" s="126"/>
    </row>
    <row r="125" spans="1:13" x14ac:dyDescent="0.2">
      <c r="B125" s="3"/>
      <c r="I125" s="111"/>
    </row>
    <row r="126" spans="1:13" x14ac:dyDescent="0.2">
      <c r="A126" s="120"/>
      <c r="B126" s="159"/>
      <c r="C126" s="159"/>
      <c r="D126" s="127"/>
    </row>
    <row r="127" spans="1:13" ht="13.5" customHeight="1" x14ac:dyDescent="0.2">
      <c r="A127" s="3"/>
      <c r="B127" s="152" t="s">
        <v>103</v>
      </c>
      <c r="C127" s="152"/>
      <c r="D127" s="108"/>
    </row>
    <row r="128" spans="1:13" x14ac:dyDescent="0.2">
      <c r="A128" s="3"/>
      <c r="B128" s="3"/>
      <c r="E128" s="153" t="s">
        <v>102</v>
      </c>
      <c r="F128" s="153"/>
    </row>
    <row r="129" spans="1:14" ht="16.5" customHeight="1" x14ac:dyDescent="0.2">
      <c r="A129" s="3"/>
      <c r="B129" s="3"/>
    </row>
    <row r="130" spans="1:14" x14ac:dyDescent="0.2">
      <c r="A130" s="3"/>
    </row>
    <row r="131" spans="1:14" x14ac:dyDescent="0.2">
      <c r="C131" s="128"/>
      <c r="D131" s="25"/>
    </row>
    <row r="134" spans="1:14" x14ac:dyDescent="0.2">
      <c r="B134" s="159"/>
      <c r="C134" s="159"/>
      <c r="D134" s="127"/>
    </row>
    <row r="140" spans="1:14" x14ac:dyDescent="0.2">
      <c r="M140" s="110"/>
      <c r="N140" s="110"/>
    </row>
    <row r="141" spans="1:14" x14ac:dyDescent="0.2">
      <c r="C141" s="103"/>
      <c r="M141" s="110"/>
      <c r="N141" s="110"/>
    </row>
    <row r="142" spans="1:14" x14ac:dyDescent="0.2">
      <c r="C142" s="103"/>
      <c r="E142" s="103"/>
      <c r="M142" s="110"/>
      <c r="N142" s="110"/>
    </row>
    <row r="143" spans="1:14" ht="19.5" customHeight="1" x14ac:dyDescent="0.2">
      <c r="C143" s="103"/>
      <c r="M143" s="110"/>
      <c r="N143" s="110"/>
    </row>
    <row r="144" spans="1:14" x14ac:dyDescent="0.2">
      <c r="M144" s="110"/>
      <c r="N144" s="110"/>
    </row>
    <row r="145" spans="3:14" ht="24.75" customHeight="1" x14ac:dyDescent="0.2">
      <c r="C145" s="100"/>
      <c r="M145" s="110"/>
      <c r="N145" s="110"/>
    </row>
    <row r="146" spans="3:14" ht="22.5" customHeight="1" x14ac:dyDescent="0.2">
      <c r="M146" s="110"/>
      <c r="N146" s="110"/>
    </row>
    <row r="147" spans="3:14" x14ac:dyDescent="0.2">
      <c r="C147" s="111"/>
      <c r="M147" s="110"/>
      <c r="N147" s="110"/>
    </row>
  </sheetData>
  <sheetProtection algorithmName="SHA-512" hashValue="sbRWTIa/YxRGI4An5jUHCy2jc8/c6v0Vlq9UueFfsva+qonHugiIDr5hkRv7rjTbFi6sXhWIpMm10rqHEQPnYA==" saltValue="4az7PptJkCaQFG5mD2i1lg==" spinCount="100000" sheet="1" objects="1" scenarios="1"/>
  <mergeCells count="45">
    <mergeCell ref="E123:F123"/>
    <mergeCell ref="B126:C126"/>
    <mergeCell ref="B127:C127"/>
    <mergeCell ref="E128:F128"/>
    <mergeCell ref="B134:C134"/>
    <mergeCell ref="B102:B103"/>
    <mergeCell ref="C102:C103"/>
    <mergeCell ref="B112:B113"/>
    <mergeCell ref="C112:C113"/>
    <mergeCell ref="B122:C122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22:B23"/>
    <mergeCell ref="C22:C23"/>
    <mergeCell ref="B33:B34"/>
    <mergeCell ref="C33:C34"/>
    <mergeCell ref="B35:B38"/>
    <mergeCell ref="C35:C38"/>
    <mergeCell ref="B49:B51"/>
    <mergeCell ref="C49:C51"/>
    <mergeCell ref="B52:B53"/>
    <mergeCell ref="C52:C53"/>
    <mergeCell ref="B56:B58"/>
    <mergeCell ref="C56:C58"/>
    <mergeCell ref="B61:B62"/>
    <mergeCell ref="C61:C62"/>
    <mergeCell ref="B96:B97"/>
    <mergeCell ref="C96:C97"/>
    <mergeCell ref="B88:B89"/>
    <mergeCell ref="C88:C89"/>
    <mergeCell ref="B92:B94"/>
    <mergeCell ref="C92:C94"/>
    <mergeCell ref="B69:B70"/>
    <mergeCell ref="C69:C70"/>
    <mergeCell ref="B77:B78"/>
    <mergeCell ref="C77:C78"/>
    <mergeCell ref="B82:B84"/>
    <mergeCell ref="C82:C8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A9" sqref="A9:H9"/>
    </sheetView>
  </sheetViews>
  <sheetFormatPr defaultRowHeight="13.5" x14ac:dyDescent="0.2"/>
  <cols>
    <col min="1" max="1" width="3.85546875" style="49" customWidth="1"/>
    <col min="2" max="2" width="10" style="28" customWidth="1"/>
    <col min="3" max="3" width="53.7109375" style="5" customWidth="1"/>
    <col min="4" max="4" width="13.5703125" style="1" bestFit="1" customWidth="1"/>
    <col min="5" max="5" width="10.42578125" style="5" customWidth="1"/>
    <col min="6" max="6" width="11.85546875" style="5" customWidth="1"/>
    <col min="7" max="7" width="10.7109375" style="5" customWidth="1"/>
    <col min="8" max="8" width="30.140625" style="5" customWidth="1"/>
    <col min="9" max="16384" width="9.140625" style="5"/>
  </cols>
  <sheetData>
    <row r="1" spans="1:8" ht="18" customHeight="1" x14ac:dyDescent="0.2"/>
    <row r="2" spans="1:8" ht="28.5" customHeight="1" x14ac:dyDescent="0.2">
      <c r="B2" s="5"/>
      <c r="H2" s="7" t="s">
        <v>146</v>
      </c>
    </row>
    <row r="3" spans="1:8" ht="20.25" customHeight="1" x14ac:dyDescent="0.2">
      <c r="B3" s="5"/>
      <c r="C3" s="160" t="s">
        <v>142</v>
      </c>
      <c r="D3" s="160"/>
      <c r="E3" s="160"/>
      <c r="F3" s="160"/>
      <c r="G3" s="160"/>
    </row>
    <row r="4" spans="1:8" ht="26.25" customHeight="1" x14ac:dyDescent="0.2">
      <c r="A4" s="161" t="s">
        <v>147</v>
      </c>
      <c r="B4" s="162"/>
      <c r="C4" s="162"/>
      <c r="D4" s="162"/>
      <c r="E4" s="163"/>
      <c r="F4" s="167" t="s">
        <v>2</v>
      </c>
      <c r="G4" s="168"/>
      <c r="H4" s="169"/>
    </row>
    <row r="5" spans="1:8" ht="18.75" customHeight="1" x14ac:dyDescent="0.2">
      <c r="A5" s="164"/>
      <c r="B5" s="165"/>
      <c r="C5" s="165"/>
      <c r="D5" s="165"/>
      <c r="E5" s="166"/>
      <c r="F5" s="170">
        <v>204578581</v>
      </c>
      <c r="G5" s="171"/>
      <c r="H5" s="172"/>
    </row>
    <row r="6" spans="1:8" ht="25.5" customHeight="1" x14ac:dyDescent="0.2">
      <c r="A6" s="161" t="s">
        <v>3</v>
      </c>
      <c r="B6" s="162"/>
      <c r="C6" s="162"/>
      <c r="D6" s="162"/>
      <c r="E6" s="163"/>
      <c r="F6" s="161" t="s">
        <v>148</v>
      </c>
      <c r="G6" s="173"/>
      <c r="H6" s="174"/>
    </row>
    <row r="7" spans="1:8" ht="43.5" customHeight="1" x14ac:dyDescent="0.2">
      <c r="A7" s="170" t="s">
        <v>149</v>
      </c>
      <c r="B7" s="171"/>
      <c r="C7" s="171"/>
      <c r="D7" s="171"/>
      <c r="E7" s="172"/>
      <c r="F7" s="175"/>
      <c r="G7" s="176"/>
      <c r="H7" s="177"/>
    </row>
    <row r="8" spans="1:8" ht="21" customHeight="1" x14ac:dyDescent="0.2">
      <c r="A8" s="161" t="s">
        <v>6</v>
      </c>
      <c r="B8" s="162"/>
      <c r="C8" s="162"/>
      <c r="D8" s="162"/>
      <c r="E8" s="162"/>
      <c r="F8" s="162"/>
      <c r="G8" s="162"/>
      <c r="H8" s="163"/>
    </row>
    <row r="9" spans="1:8" s="28" customFormat="1" ht="15.75" customHeight="1" x14ac:dyDescent="0.2">
      <c r="A9" s="178">
        <f>2226000+77880</f>
        <v>2303880</v>
      </c>
      <c r="B9" s="179"/>
      <c r="C9" s="179"/>
      <c r="D9" s="179"/>
      <c r="E9" s="179"/>
      <c r="F9" s="179"/>
      <c r="G9" s="179"/>
      <c r="H9" s="179"/>
    </row>
    <row r="10" spans="1:8" s="28" customFormat="1" ht="71.25" customHeight="1" x14ac:dyDescent="0.2">
      <c r="A10" s="16" t="s">
        <v>7</v>
      </c>
      <c r="B10" s="16" t="s">
        <v>8</v>
      </c>
      <c r="C10" s="16" t="s">
        <v>9</v>
      </c>
      <c r="D10" s="10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</row>
    <row r="11" spans="1:8" s="28" customFormat="1" ht="15" customHeight="1" x14ac:dyDescent="0.2">
      <c r="A11" s="16">
        <v>1</v>
      </c>
      <c r="B11" s="16">
        <v>2</v>
      </c>
      <c r="C11" s="16">
        <v>3</v>
      </c>
      <c r="D11" s="12">
        <v>4</v>
      </c>
      <c r="E11" s="16">
        <v>5</v>
      </c>
      <c r="F11" s="16">
        <v>6</v>
      </c>
      <c r="G11" s="16">
        <v>7</v>
      </c>
      <c r="H11" s="16">
        <v>8</v>
      </c>
    </row>
    <row r="12" spans="1:8" ht="27" customHeight="1" x14ac:dyDescent="0.2">
      <c r="A12" s="16">
        <v>1</v>
      </c>
      <c r="B12" s="16">
        <v>18400000</v>
      </c>
      <c r="C12" s="16" t="s">
        <v>31</v>
      </c>
      <c r="D12" s="12">
        <v>2600</v>
      </c>
      <c r="E12" s="16" t="s">
        <v>23</v>
      </c>
      <c r="F12" s="13" t="s">
        <v>150</v>
      </c>
      <c r="G12" s="13" t="s">
        <v>151</v>
      </c>
      <c r="H12" s="14"/>
    </row>
    <row r="13" spans="1:8" ht="25.5" customHeight="1" x14ac:dyDescent="0.2">
      <c r="A13" s="16">
        <v>2</v>
      </c>
      <c r="B13" s="16">
        <v>18800000</v>
      </c>
      <c r="C13" s="16" t="s">
        <v>112</v>
      </c>
      <c r="D13" s="12">
        <v>5950</v>
      </c>
      <c r="E13" s="16" t="s">
        <v>23</v>
      </c>
      <c r="F13" s="13" t="s">
        <v>150</v>
      </c>
      <c r="G13" s="13" t="s">
        <v>151</v>
      </c>
      <c r="H13" s="14"/>
    </row>
    <row r="14" spans="1:8" ht="33" customHeight="1" x14ac:dyDescent="0.2">
      <c r="A14" s="16">
        <v>3</v>
      </c>
      <c r="B14" s="16">
        <v>22100000</v>
      </c>
      <c r="C14" s="16" t="s">
        <v>116</v>
      </c>
      <c r="D14" s="12">
        <v>20600</v>
      </c>
      <c r="E14" s="16" t="s">
        <v>32</v>
      </c>
      <c r="F14" s="13" t="s">
        <v>150</v>
      </c>
      <c r="G14" s="13" t="s">
        <v>151</v>
      </c>
      <c r="H14" s="14"/>
    </row>
    <row r="15" spans="1:8" ht="26.25" customHeight="1" x14ac:dyDescent="0.2">
      <c r="A15" s="16">
        <v>4</v>
      </c>
      <c r="B15" s="16">
        <v>30200000</v>
      </c>
      <c r="C15" s="16" t="s">
        <v>38</v>
      </c>
      <c r="D15" s="60">
        <f>70000-9000</f>
        <v>61000</v>
      </c>
      <c r="E15" s="16" t="s">
        <v>32</v>
      </c>
      <c r="F15" s="13" t="s">
        <v>18</v>
      </c>
      <c r="G15" s="13" t="s">
        <v>19</v>
      </c>
      <c r="H15" s="14"/>
    </row>
    <row r="16" spans="1:8" ht="31.5" customHeight="1" x14ac:dyDescent="0.2">
      <c r="A16" s="16">
        <v>5</v>
      </c>
      <c r="B16" s="16">
        <v>31100000</v>
      </c>
      <c r="C16" s="16" t="s">
        <v>39</v>
      </c>
      <c r="D16" s="12">
        <v>2000</v>
      </c>
      <c r="E16" s="16" t="s">
        <v>23</v>
      </c>
      <c r="F16" s="13" t="s">
        <v>150</v>
      </c>
      <c r="G16" s="13" t="s">
        <v>151</v>
      </c>
      <c r="H16" s="14"/>
    </row>
    <row r="17" spans="1:8" ht="33.75" customHeight="1" x14ac:dyDescent="0.2">
      <c r="A17" s="16">
        <v>6</v>
      </c>
      <c r="B17" s="16">
        <v>33100000</v>
      </c>
      <c r="C17" s="16" t="s">
        <v>46</v>
      </c>
      <c r="D17" s="61">
        <f>8051-698.95</f>
        <v>7352.05</v>
      </c>
      <c r="E17" s="16" t="s">
        <v>23</v>
      </c>
      <c r="F17" s="13" t="s">
        <v>150</v>
      </c>
      <c r="G17" s="13" t="s">
        <v>151</v>
      </c>
      <c r="H17" s="62"/>
    </row>
    <row r="18" spans="1:8" ht="33" customHeight="1" x14ac:dyDescent="0.2">
      <c r="A18" s="16">
        <v>7</v>
      </c>
      <c r="B18" s="16">
        <v>35100000</v>
      </c>
      <c r="C18" s="16" t="s">
        <v>50</v>
      </c>
      <c r="D18" s="12">
        <v>9999</v>
      </c>
      <c r="E18" s="16" t="s">
        <v>23</v>
      </c>
      <c r="F18" s="13" t="s">
        <v>150</v>
      </c>
      <c r="G18" s="13" t="s">
        <v>151</v>
      </c>
      <c r="H18" s="16"/>
    </row>
    <row r="19" spans="1:8" ht="35.25" customHeight="1" x14ac:dyDescent="0.2">
      <c r="A19" s="16">
        <v>8</v>
      </c>
      <c r="B19" s="16">
        <v>42100000</v>
      </c>
      <c r="C19" s="16" t="s">
        <v>128</v>
      </c>
      <c r="D19" s="20">
        <v>9000</v>
      </c>
      <c r="E19" s="16" t="s">
        <v>23</v>
      </c>
      <c r="F19" s="13" t="s">
        <v>150</v>
      </c>
      <c r="G19" s="13" t="s">
        <v>151</v>
      </c>
      <c r="H19" s="14"/>
    </row>
    <row r="20" spans="1:8" ht="35.25" customHeight="1" x14ac:dyDescent="0.2">
      <c r="A20" s="16">
        <v>9</v>
      </c>
      <c r="B20" s="16">
        <v>42400000</v>
      </c>
      <c r="C20" s="16" t="s">
        <v>54</v>
      </c>
      <c r="D20" s="12">
        <v>2000</v>
      </c>
      <c r="E20" s="16" t="s">
        <v>23</v>
      </c>
      <c r="F20" s="13" t="s">
        <v>150</v>
      </c>
      <c r="G20" s="13" t="s">
        <v>151</v>
      </c>
      <c r="H20" s="14"/>
    </row>
    <row r="21" spans="1:8" ht="34.5" customHeight="1" x14ac:dyDescent="0.2">
      <c r="A21" s="16">
        <v>10</v>
      </c>
      <c r="B21" s="16">
        <v>42600000</v>
      </c>
      <c r="C21" s="16" t="s">
        <v>56</v>
      </c>
      <c r="D21" s="12">
        <v>7000</v>
      </c>
      <c r="E21" s="16" t="s">
        <v>23</v>
      </c>
      <c r="F21" s="13" t="s">
        <v>150</v>
      </c>
      <c r="G21" s="13" t="s">
        <v>151</v>
      </c>
      <c r="H21" s="14"/>
    </row>
    <row r="22" spans="1:8" ht="29.25" customHeight="1" x14ac:dyDescent="0.2">
      <c r="A22" s="16">
        <v>11</v>
      </c>
      <c r="B22" s="16">
        <v>43800000</v>
      </c>
      <c r="C22" s="16" t="s">
        <v>129</v>
      </c>
      <c r="D22" s="20">
        <v>595000</v>
      </c>
      <c r="E22" s="16" t="s">
        <v>32</v>
      </c>
      <c r="F22" s="13" t="s">
        <v>18</v>
      </c>
      <c r="G22" s="13" t="s">
        <v>19</v>
      </c>
      <c r="H22" s="14"/>
    </row>
    <row r="23" spans="1:8" ht="31.5" customHeight="1" x14ac:dyDescent="0.2">
      <c r="A23" s="16">
        <v>12</v>
      </c>
      <c r="B23" s="21">
        <v>44400000</v>
      </c>
      <c r="C23" s="21" t="s">
        <v>61</v>
      </c>
      <c r="D23" s="12">
        <v>600</v>
      </c>
      <c r="E23" s="16" t="s">
        <v>23</v>
      </c>
      <c r="F23" s="13" t="s">
        <v>97</v>
      </c>
      <c r="G23" s="13" t="s">
        <v>97</v>
      </c>
      <c r="H23" s="14"/>
    </row>
    <row r="24" spans="1:8" ht="35.25" customHeight="1" x14ac:dyDescent="0.2">
      <c r="A24" s="16">
        <v>13</v>
      </c>
      <c r="B24" s="16">
        <v>44500000</v>
      </c>
      <c r="C24" s="16" t="s">
        <v>62</v>
      </c>
      <c r="D24" s="12">
        <v>9990</v>
      </c>
      <c r="E24" s="16" t="s">
        <v>23</v>
      </c>
      <c r="F24" s="13" t="s">
        <v>150</v>
      </c>
      <c r="G24" s="13" t="s">
        <v>151</v>
      </c>
      <c r="H24" s="14"/>
    </row>
    <row r="25" spans="1:8" ht="39.75" customHeight="1" x14ac:dyDescent="0.2">
      <c r="A25" s="16">
        <v>14</v>
      </c>
      <c r="B25" s="16">
        <v>45200000</v>
      </c>
      <c r="C25" s="16" t="s">
        <v>64</v>
      </c>
      <c r="D25" s="20">
        <v>77880</v>
      </c>
      <c r="E25" s="16" t="s">
        <v>32</v>
      </c>
      <c r="F25" s="13" t="s">
        <v>150</v>
      </c>
      <c r="G25" s="13" t="s">
        <v>151</v>
      </c>
      <c r="H25" s="14"/>
    </row>
    <row r="26" spans="1:8" s="28" customFormat="1" ht="22.5" customHeight="1" x14ac:dyDescent="0.2">
      <c r="A26" s="16">
        <v>15</v>
      </c>
      <c r="B26" s="180">
        <v>55100000</v>
      </c>
      <c r="C26" s="180" t="s">
        <v>152</v>
      </c>
      <c r="D26" s="12">
        <f>20000-10100</f>
        <v>9900</v>
      </c>
      <c r="E26" s="16" t="s">
        <v>23</v>
      </c>
      <c r="F26" s="13" t="s">
        <v>18</v>
      </c>
      <c r="G26" s="13" t="s">
        <v>19</v>
      </c>
      <c r="H26" s="14"/>
    </row>
    <row r="27" spans="1:8" s="28" customFormat="1" ht="25.5" customHeight="1" x14ac:dyDescent="0.2">
      <c r="A27" s="16">
        <v>16</v>
      </c>
      <c r="B27" s="181"/>
      <c r="C27" s="181"/>
      <c r="D27" s="12">
        <v>50000</v>
      </c>
      <c r="E27" s="16" t="s">
        <v>23</v>
      </c>
      <c r="F27" s="13" t="s">
        <v>18</v>
      </c>
      <c r="G27" s="13" t="s">
        <v>19</v>
      </c>
      <c r="H27" s="14" t="s">
        <v>28</v>
      </c>
    </row>
    <row r="28" spans="1:8" s="28" customFormat="1" ht="28.5" customHeight="1" x14ac:dyDescent="0.2">
      <c r="A28" s="16">
        <v>17</v>
      </c>
      <c r="B28" s="180">
        <v>55300000</v>
      </c>
      <c r="C28" s="180" t="s">
        <v>76</v>
      </c>
      <c r="D28" s="12">
        <v>10000</v>
      </c>
      <c r="E28" s="16" t="s">
        <v>23</v>
      </c>
      <c r="F28" s="13" t="s">
        <v>18</v>
      </c>
      <c r="G28" s="13" t="s">
        <v>19</v>
      </c>
      <c r="H28" s="14" t="s">
        <v>28</v>
      </c>
    </row>
    <row r="29" spans="1:8" s="28" customFormat="1" ht="28.5" customHeight="1" x14ac:dyDescent="0.2">
      <c r="A29" s="16">
        <v>18</v>
      </c>
      <c r="B29" s="181"/>
      <c r="C29" s="181"/>
      <c r="D29" s="12">
        <v>16000</v>
      </c>
      <c r="E29" s="16" t="s">
        <v>32</v>
      </c>
      <c r="F29" s="13" t="s">
        <v>150</v>
      </c>
      <c r="G29" s="13" t="s">
        <v>151</v>
      </c>
      <c r="H29" s="14"/>
    </row>
    <row r="30" spans="1:8" s="28" customFormat="1" ht="28.5" customHeight="1" x14ac:dyDescent="0.2">
      <c r="A30" s="16">
        <v>19</v>
      </c>
      <c r="B30" s="16">
        <v>60100000</v>
      </c>
      <c r="C30" s="16" t="s">
        <v>77</v>
      </c>
      <c r="D30" s="12">
        <v>9000</v>
      </c>
      <c r="E30" s="16" t="s">
        <v>23</v>
      </c>
      <c r="F30" s="13" t="s">
        <v>18</v>
      </c>
      <c r="G30" s="13" t="s">
        <v>19</v>
      </c>
      <c r="H30" s="14"/>
    </row>
    <row r="31" spans="1:8" s="28" customFormat="1" ht="28.5" customHeight="1" x14ac:dyDescent="0.2">
      <c r="A31" s="16">
        <v>20</v>
      </c>
      <c r="B31" s="16">
        <v>66100000</v>
      </c>
      <c r="C31" s="16" t="s">
        <v>153</v>
      </c>
      <c r="D31" s="12">
        <v>2000</v>
      </c>
      <c r="E31" s="16" t="s">
        <v>23</v>
      </c>
      <c r="F31" s="13" t="s">
        <v>18</v>
      </c>
      <c r="G31" s="13" t="s">
        <v>19</v>
      </c>
      <c r="H31" s="14"/>
    </row>
    <row r="32" spans="1:8" ht="30.75" customHeight="1" x14ac:dyDescent="0.2">
      <c r="A32" s="16">
        <v>21</v>
      </c>
      <c r="B32" s="16">
        <v>73100000</v>
      </c>
      <c r="C32" s="16" t="s">
        <v>154</v>
      </c>
      <c r="D32" s="12">
        <f>120000-8800</f>
        <v>111200</v>
      </c>
      <c r="E32" s="16" t="s">
        <v>32</v>
      </c>
      <c r="F32" s="13" t="s">
        <v>18</v>
      </c>
      <c r="G32" s="13" t="s">
        <v>19</v>
      </c>
      <c r="H32" s="14"/>
    </row>
    <row r="33" spans="1:8" ht="27" customHeight="1" x14ac:dyDescent="0.2">
      <c r="A33" s="16">
        <v>22</v>
      </c>
      <c r="B33" s="16">
        <v>77200000</v>
      </c>
      <c r="C33" s="16" t="s">
        <v>91</v>
      </c>
      <c r="D33" s="12">
        <f>1039050+20570</f>
        <v>1059620</v>
      </c>
      <c r="E33" s="16" t="s">
        <v>32</v>
      </c>
      <c r="F33" s="13" t="s">
        <v>18</v>
      </c>
      <c r="G33" s="13" t="s">
        <v>19</v>
      </c>
      <c r="H33" s="14" t="s">
        <v>155</v>
      </c>
    </row>
    <row r="34" spans="1:8" ht="26.25" customHeight="1" x14ac:dyDescent="0.2">
      <c r="A34" s="16">
        <v>23</v>
      </c>
      <c r="B34" s="16">
        <v>79200000</v>
      </c>
      <c r="C34" s="16" t="s">
        <v>156</v>
      </c>
      <c r="D34" s="12">
        <v>30000</v>
      </c>
      <c r="E34" s="16" t="s">
        <v>32</v>
      </c>
      <c r="F34" s="13" t="s">
        <v>18</v>
      </c>
      <c r="G34" s="13" t="s">
        <v>19</v>
      </c>
      <c r="H34" s="14"/>
    </row>
    <row r="35" spans="1:8" ht="30.75" customHeight="1" x14ac:dyDescent="0.2">
      <c r="A35" s="16">
        <v>24</v>
      </c>
      <c r="B35" s="16">
        <v>79400000</v>
      </c>
      <c r="C35" s="16" t="s">
        <v>137</v>
      </c>
      <c r="D35" s="12">
        <f>169350-84160</f>
        <v>85190</v>
      </c>
      <c r="E35" s="16" t="s">
        <v>32</v>
      </c>
      <c r="F35" s="13" t="s">
        <v>18</v>
      </c>
      <c r="G35" s="13" t="s">
        <v>19</v>
      </c>
      <c r="H35" s="14"/>
    </row>
    <row r="36" spans="1:8" ht="31.5" customHeight="1" x14ac:dyDescent="0.2">
      <c r="A36" s="16">
        <v>25</v>
      </c>
      <c r="B36" s="16">
        <v>79500000</v>
      </c>
      <c r="C36" s="16" t="s">
        <v>138</v>
      </c>
      <c r="D36" s="61">
        <f>9900+98.95</f>
        <v>9998.9500000000007</v>
      </c>
      <c r="E36" s="16" t="s">
        <v>23</v>
      </c>
      <c r="F36" s="13" t="s">
        <v>18</v>
      </c>
      <c r="G36" s="13" t="s">
        <v>19</v>
      </c>
      <c r="H36" s="14"/>
    </row>
    <row r="37" spans="1:8" ht="27.75" customHeight="1" x14ac:dyDescent="0.2">
      <c r="A37" s="16">
        <v>26</v>
      </c>
      <c r="B37" s="16">
        <v>80500000</v>
      </c>
      <c r="C37" s="16" t="s">
        <v>94</v>
      </c>
      <c r="D37" s="12">
        <v>100000</v>
      </c>
      <c r="E37" s="16" t="s">
        <v>32</v>
      </c>
      <c r="F37" s="13" t="s">
        <v>18</v>
      </c>
      <c r="G37" s="13" t="s">
        <v>19</v>
      </c>
      <c r="H37" s="14"/>
    </row>
    <row r="38" spans="1:8" s="66" customFormat="1" ht="16.5" customHeight="1" x14ac:dyDescent="0.2">
      <c r="A38" s="49"/>
      <c r="B38" s="63"/>
      <c r="C38" s="24"/>
      <c r="D38" s="64"/>
      <c r="E38" s="9"/>
      <c r="F38" s="28"/>
      <c r="G38" s="28"/>
      <c r="H38" s="65"/>
    </row>
    <row r="39" spans="1:8" ht="12" customHeight="1" x14ac:dyDescent="0.2">
      <c r="B39" s="35"/>
      <c r="C39" s="22"/>
      <c r="D39" s="64"/>
      <c r="E39" s="67"/>
      <c r="F39" s="28"/>
      <c r="G39" s="28"/>
      <c r="H39" s="57"/>
    </row>
    <row r="40" spans="1:8" ht="38.25" customHeight="1" x14ac:dyDescent="0.2">
      <c r="B40" s="182" t="s">
        <v>145</v>
      </c>
      <c r="C40" s="182"/>
    </row>
    <row r="41" spans="1:8" ht="13.5" customHeight="1" x14ac:dyDescent="0.2">
      <c r="B41" s="5"/>
      <c r="D41" s="27"/>
      <c r="E41" s="183" t="s">
        <v>102</v>
      </c>
      <c r="F41" s="183"/>
    </row>
    <row r="42" spans="1:8" ht="37.5" customHeight="1" x14ac:dyDescent="0.2">
      <c r="B42" s="5"/>
    </row>
    <row r="43" spans="1:8" x14ac:dyDescent="0.2">
      <c r="B43" s="5"/>
    </row>
    <row r="44" spans="1:8" ht="21.75" customHeight="1" x14ac:dyDescent="0.2">
      <c r="B44" s="184"/>
      <c r="C44" s="184"/>
      <c r="D44" s="184"/>
    </row>
    <row r="45" spans="1:8" ht="13.5" customHeight="1" x14ac:dyDescent="0.2">
      <c r="B45" s="182" t="s">
        <v>103</v>
      </c>
      <c r="C45" s="182"/>
      <c r="D45" s="182"/>
    </row>
    <row r="46" spans="1:8" x14ac:dyDescent="0.2">
      <c r="B46" s="5"/>
      <c r="E46" s="183" t="s">
        <v>102</v>
      </c>
      <c r="F46" s="183"/>
    </row>
    <row r="51" spans="3:10" x14ac:dyDescent="0.2">
      <c r="I51" s="57"/>
      <c r="J51" s="57"/>
    </row>
    <row r="52" spans="3:10" x14ac:dyDescent="0.2">
      <c r="C52" s="34"/>
      <c r="I52" s="57"/>
      <c r="J52" s="57"/>
    </row>
    <row r="53" spans="3:10" x14ac:dyDescent="0.2">
      <c r="C53" s="58"/>
      <c r="E53" s="24"/>
      <c r="I53" s="57"/>
      <c r="J53" s="57"/>
    </row>
    <row r="54" spans="3:10" ht="19.5" customHeight="1" x14ac:dyDescent="0.2">
      <c r="C54" s="59"/>
      <c r="I54" s="57"/>
      <c r="J54" s="57"/>
    </row>
    <row r="55" spans="3:10" x14ac:dyDescent="0.2">
      <c r="I55" s="57"/>
      <c r="J55" s="57"/>
    </row>
    <row r="56" spans="3:10" ht="24.75" customHeight="1" x14ac:dyDescent="0.2">
      <c r="C56" s="22"/>
      <c r="I56" s="57"/>
      <c r="J56" s="57"/>
    </row>
    <row r="57" spans="3:10" ht="22.5" customHeight="1" x14ac:dyDescent="0.2">
      <c r="I57" s="57"/>
      <c r="J57" s="57"/>
    </row>
    <row r="58" spans="3:10" x14ac:dyDescent="0.2">
      <c r="C58" s="29"/>
      <c r="I58" s="57"/>
      <c r="J58" s="57"/>
    </row>
  </sheetData>
  <sheetProtection algorithmName="SHA-512" hashValue="ojOXbjdf1SmvxdptOqSB6XV7tmqdrD76UmmhZzJCaSatp6q5Y8qHjjpK9tVC/kFMZ93AQULVs8KfOnD6HMLTzA==" saltValue="q8hE/de/GlzEo0gYilxQHg==" spinCount="100000" sheet="1" objects="1" scenarios="1"/>
  <mergeCells count="18">
    <mergeCell ref="B40:C40"/>
    <mergeCell ref="E41:F41"/>
    <mergeCell ref="B44:D44"/>
    <mergeCell ref="B45:D45"/>
    <mergeCell ref="E46:F46"/>
    <mergeCell ref="A8:H8"/>
    <mergeCell ref="A9:H9"/>
    <mergeCell ref="B26:B27"/>
    <mergeCell ref="C26:C27"/>
    <mergeCell ref="B28:B29"/>
    <mergeCell ref="C28:C2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abSelected="1" workbookViewId="0">
      <selection activeCell="J7" sqref="J7"/>
    </sheetView>
  </sheetViews>
  <sheetFormatPr defaultRowHeight="13.5" x14ac:dyDescent="0.2"/>
  <cols>
    <col min="1" max="1" width="3.85546875" style="49" customWidth="1"/>
    <col min="2" max="2" width="10" style="28" customWidth="1"/>
    <col min="3" max="3" width="53.7109375" style="5" customWidth="1"/>
    <col min="4" max="4" width="11.5703125" style="50" customWidth="1"/>
    <col min="5" max="5" width="10.42578125" style="5" customWidth="1"/>
    <col min="6" max="6" width="11.85546875" style="5" customWidth="1"/>
    <col min="7" max="7" width="12.42578125" style="5" customWidth="1"/>
    <col min="8" max="8" width="32" style="5" customWidth="1"/>
    <col min="9" max="12" width="8.28515625" style="28" customWidth="1"/>
    <col min="13" max="16384" width="9.140625" style="5"/>
  </cols>
  <sheetData>
    <row r="2" spans="1:12" x14ac:dyDescent="0.2">
      <c r="B2" s="5"/>
      <c r="H2" s="7" t="s">
        <v>141</v>
      </c>
    </row>
    <row r="3" spans="1:12" x14ac:dyDescent="0.2">
      <c r="B3" s="5"/>
      <c r="C3" s="160" t="s">
        <v>142</v>
      </c>
      <c r="D3" s="160"/>
      <c r="E3" s="160"/>
      <c r="F3" s="160"/>
      <c r="G3" s="160"/>
    </row>
    <row r="4" spans="1:12" x14ac:dyDescent="0.2">
      <c r="A4" s="161" t="s">
        <v>143</v>
      </c>
      <c r="B4" s="162"/>
      <c r="C4" s="162"/>
      <c r="D4" s="162"/>
      <c r="E4" s="163"/>
      <c r="F4" s="167" t="s">
        <v>2</v>
      </c>
      <c r="G4" s="168"/>
      <c r="H4" s="169"/>
    </row>
    <row r="5" spans="1:12" x14ac:dyDescent="0.2">
      <c r="A5" s="164"/>
      <c r="B5" s="165"/>
      <c r="C5" s="165"/>
      <c r="D5" s="165"/>
      <c r="E5" s="166"/>
      <c r="F5" s="170">
        <v>204578581</v>
      </c>
      <c r="G5" s="171"/>
      <c r="H5" s="172"/>
    </row>
    <row r="6" spans="1:12" x14ac:dyDescent="0.2">
      <c r="A6" s="161" t="s">
        <v>3</v>
      </c>
      <c r="B6" s="162"/>
      <c r="C6" s="162"/>
      <c r="D6" s="162"/>
      <c r="E6" s="163"/>
      <c r="F6" s="161" t="s">
        <v>144</v>
      </c>
      <c r="G6" s="173"/>
      <c r="H6" s="174"/>
      <c r="I6" s="30"/>
      <c r="J6" s="30"/>
      <c r="K6" s="30"/>
      <c r="L6" s="30"/>
    </row>
    <row r="7" spans="1:12" ht="41.25" customHeight="1" x14ac:dyDescent="0.2">
      <c r="A7" s="170" t="s">
        <v>5</v>
      </c>
      <c r="B7" s="171"/>
      <c r="C7" s="171"/>
      <c r="D7" s="171"/>
      <c r="E7" s="172"/>
      <c r="F7" s="175"/>
      <c r="G7" s="176"/>
      <c r="H7" s="177"/>
    </row>
    <row r="8" spans="1:12" x14ac:dyDescent="0.2">
      <c r="A8" s="161" t="s">
        <v>6</v>
      </c>
      <c r="B8" s="162"/>
      <c r="C8" s="162"/>
      <c r="D8" s="162"/>
      <c r="E8" s="162"/>
      <c r="F8" s="162"/>
      <c r="G8" s="162"/>
      <c r="H8" s="163"/>
    </row>
    <row r="9" spans="1:12" s="28" customFormat="1" x14ac:dyDescent="0.2">
      <c r="A9" s="178">
        <f>SUM(D12:D15)</f>
        <v>51550</v>
      </c>
      <c r="B9" s="179"/>
      <c r="C9" s="179"/>
      <c r="D9" s="179"/>
      <c r="E9" s="179"/>
      <c r="F9" s="179"/>
      <c r="G9" s="179"/>
      <c r="H9" s="179"/>
    </row>
    <row r="10" spans="1:12" s="28" customFormat="1" ht="63.75" x14ac:dyDescent="0.2">
      <c r="A10" s="16" t="s">
        <v>7</v>
      </c>
      <c r="B10" s="16" t="s">
        <v>8</v>
      </c>
      <c r="C10" s="16" t="s">
        <v>9</v>
      </c>
      <c r="D10" s="51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</row>
    <row r="11" spans="1:12" s="28" customFormat="1" ht="12.75" x14ac:dyDescent="0.2">
      <c r="A11" s="16">
        <v>1</v>
      </c>
      <c r="B11" s="16">
        <v>2</v>
      </c>
      <c r="C11" s="16">
        <v>3</v>
      </c>
      <c r="D11" s="12">
        <v>4</v>
      </c>
      <c r="E11" s="16">
        <v>5</v>
      </c>
      <c r="F11" s="16">
        <v>6</v>
      </c>
      <c r="G11" s="16">
        <v>7</v>
      </c>
      <c r="H11" s="16">
        <v>8</v>
      </c>
    </row>
    <row r="12" spans="1:12" s="6" customFormat="1" x14ac:dyDescent="0.2">
      <c r="A12" s="16">
        <v>1</v>
      </c>
      <c r="B12" s="13" t="s">
        <v>15</v>
      </c>
      <c r="C12" s="16" t="s">
        <v>16</v>
      </c>
      <c r="D12" s="12">
        <f>15000+1960</f>
        <v>16960</v>
      </c>
      <c r="E12" s="16" t="s">
        <v>17</v>
      </c>
      <c r="F12" s="13" t="s">
        <v>18</v>
      </c>
      <c r="G12" s="13" t="s">
        <v>19</v>
      </c>
      <c r="H12" s="14" t="s">
        <v>20</v>
      </c>
      <c r="I12" s="52"/>
      <c r="J12" s="28"/>
      <c r="K12" s="28"/>
      <c r="L12" s="28"/>
    </row>
    <row r="13" spans="1:12" x14ac:dyDescent="0.2">
      <c r="A13" s="16">
        <v>2</v>
      </c>
      <c r="B13" s="16" t="s">
        <v>21</v>
      </c>
      <c r="C13" s="16" t="s">
        <v>22</v>
      </c>
      <c r="D13" s="12">
        <v>1000</v>
      </c>
      <c r="E13" s="16" t="s">
        <v>23</v>
      </c>
      <c r="F13" s="13" t="s">
        <v>18</v>
      </c>
      <c r="G13" s="13" t="s">
        <v>19</v>
      </c>
      <c r="H13" s="14"/>
      <c r="I13" s="53"/>
    </row>
    <row r="14" spans="1:12" x14ac:dyDescent="0.2">
      <c r="A14" s="16">
        <v>3</v>
      </c>
      <c r="B14" s="16">
        <v>42600000</v>
      </c>
      <c r="C14" s="16" t="s">
        <v>56</v>
      </c>
      <c r="D14" s="12">
        <f>3000-1960</f>
        <v>1040</v>
      </c>
      <c r="E14" s="16" t="s">
        <v>23</v>
      </c>
      <c r="F14" s="13" t="s">
        <v>18</v>
      </c>
      <c r="G14" s="13" t="s">
        <v>19</v>
      </c>
      <c r="H14" s="14"/>
      <c r="I14" s="52"/>
    </row>
    <row r="15" spans="1:12" ht="25.5" x14ac:dyDescent="0.2">
      <c r="A15" s="16">
        <v>4</v>
      </c>
      <c r="B15" s="16">
        <v>45200000</v>
      </c>
      <c r="C15" s="16" t="s">
        <v>64</v>
      </c>
      <c r="D15" s="20">
        <f>24850+7700</f>
        <v>32550</v>
      </c>
      <c r="E15" s="16" t="s">
        <v>32</v>
      </c>
      <c r="F15" s="13" t="s">
        <v>18</v>
      </c>
      <c r="G15" s="13" t="s">
        <v>19</v>
      </c>
      <c r="H15" s="14"/>
      <c r="I15" s="54"/>
    </row>
    <row r="16" spans="1:12" x14ac:dyDescent="0.2">
      <c r="D16" s="55"/>
    </row>
    <row r="17" spans="2:15" x14ac:dyDescent="0.2">
      <c r="B17" s="182" t="s">
        <v>145</v>
      </c>
      <c r="C17" s="182"/>
    </row>
    <row r="18" spans="2:15" x14ac:dyDescent="0.2">
      <c r="B18" s="5"/>
      <c r="D18" s="56"/>
      <c r="E18" s="183" t="s">
        <v>102</v>
      </c>
      <c r="F18" s="183"/>
    </row>
    <row r="19" spans="2:15" x14ac:dyDescent="0.2">
      <c r="B19" s="5"/>
    </row>
    <row r="20" spans="2:15" x14ac:dyDescent="0.2">
      <c r="B20" s="5"/>
    </row>
    <row r="21" spans="2:15" x14ac:dyDescent="0.2">
      <c r="B21" s="184"/>
      <c r="C21" s="184"/>
      <c r="D21" s="184"/>
    </row>
    <row r="22" spans="2:15" x14ac:dyDescent="0.2">
      <c r="B22" s="182" t="s">
        <v>103</v>
      </c>
      <c r="C22" s="182"/>
      <c r="D22" s="182"/>
    </row>
    <row r="23" spans="2:15" x14ac:dyDescent="0.2">
      <c r="B23" s="5"/>
      <c r="E23" s="183" t="s">
        <v>102</v>
      </c>
      <c r="F23" s="183"/>
    </row>
    <row r="28" spans="2:15" x14ac:dyDescent="0.2">
      <c r="N28" s="57"/>
      <c r="O28" s="57"/>
    </row>
    <row r="29" spans="2:15" x14ac:dyDescent="0.2">
      <c r="C29" s="34"/>
      <c r="N29" s="57"/>
      <c r="O29" s="57"/>
    </row>
    <row r="30" spans="2:15" x14ac:dyDescent="0.2">
      <c r="C30" s="58"/>
      <c r="E30" s="24"/>
      <c r="N30" s="57"/>
      <c r="O30" s="57"/>
    </row>
    <row r="31" spans="2:15" x14ac:dyDescent="0.2">
      <c r="C31" s="59"/>
      <c r="N31" s="57"/>
      <c r="O31" s="57"/>
    </row>
    <row r="32" spans="2:15" x14ac:dyDescent="0.2">
      <c r="N32" s="57"/>
      <c r="O32" s="57"/>
    </row>
    <row r="33" spans="3:15" x14ac:dyDescent="0.2">
      <c r="C33" s="22"/>
      <c r="N33" s="57"/>
      <c r="O33" s="57"/>
    </row>
    <row r="34" spans="3:15" x14ac:dyDescent="0.2">
      <c r="N34" s="57"/>
      <c r="O34" s="57"/>
    </row>
    <row r="35" spans="3:15" x14ac:dyDescent="0.2">
      <c r="C35" s="29"/>
      <c r="N35" s="57"/>
      <c r="O35" s="57"/>
    </row>
  </sheetData>
  <sheetProtection algorithmName="SHA-512" hashValue="DeK8SA2vxLuewglFaTu7aX9I4OVyECcbzqt41wJQuOfOjjQVcEcroNn/JDt9uRLY7D9NJXEwJiw9FR/hOdFxDw==" saltValue="7ZEHw++ISrmKT5uN/38EPw==" spinCount="100000" sheet="1" objects="1" scenarios="1"/>
  <mergeCells count="14">
    <mergeCell ref="E23:F23"/>
    <mergeCell ref="A8:H8"/>
    <mergeCell ref="A9:H9"/>
    <mergeCell ref="B17:C17"/>
    <mergeCell ref="E18:F18"/>
    <mergeCell ref="B21:D21"/>
    <mergeCell ref="B22:D2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გეგმა ბიუჯეტი</vt:lpstr>
      <vt:lpstr>გეგმა საკუთარი</vt:lpstr>
      <vt:lpstr>გრანტი  (GIZ) (GCF)      </vt:lpstr>
      <vt:lpstr>გრანტი (BTC Co)</vt:lpstr>
      <vt:lpstr>'გეგმა ბიუჯეტი'!Print_Area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Forestry</cp:lastModifiedBy>
  <cp:lastPrinted>2024-07-03T14:48:19Z</cp:lastPrinted>
  <dcterms:created xsi:type="dcterms:W3CDTF">2001-03-27T09:30:29Z</dcterms:created>
  <dcterms:modified xsi:type="dcterms:W3CDTF">2025-10-13T13:28:27Z</dcterms:modified>
</cp:coreProperties>
</file>