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OR_Finance Division\საფინანსო სამმართველოს ბაზა - 2020-2025\ბაზები - 2024\პროაქტიული ინფორმაცია - 2024\2024 წელი\ასატვირთი\"/>
    </mc:Choice>
  </mc:AlternateContent>
  <xr:revisionPtr revIDLastSave="0" documentId="13_ncr:1_{A1978325-156F-4A52-8497-EA000E7D26D7}" xr6:coauthVersionLast="47" xr6:coauthVersionMax="47" xr10:uidLastSave="{00000000-0000-0000-0000-000000000000}"/>
  <bookViews>
    <workbookView xWindow="-120" yWindow="-120" windowWidth="29040" windowHeight="15720" tabRatio="575" xr2:uid="{00000000-000D-0000-FFFF-FFFF00000000}"/>
  </bookViews>
  <sheets>
    <sheet name="ბიუჯეტი-გეგმა" sheetId="142" r:id="rId1"/>
    <sheet name="საკუთარი-გეგმა" sheetId="143" r:id="rId2"/>
    <sheet name="granti (BTC Co) (SCP Co)" sheetId="144" r:id="rId3"/>
    <sheet name="granti  (GIZ) (GCF)" sheetId="145" r:id="rId4"/>
  </sheets>
  <definedNames>
    <definedName name="_xlnm.Print_Area" localSheetId="0">'ბიუჯეტი-გეგმა'!$A$2:$H$121</definedName>
    <definedName name="_xlnm.Print_Area" localSheetId="1">'საკუთარი-გეგმა'!$A$1:$H$133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44" l="1"/>
  <c r="D14" i="144"/>
  <c r="D12" i="144"/>
  <c r="A9" i="144" s="1"/>
  <c r="D36" i="145" l="1"/>
  <c r="D35" i="145"/>
  <c r="D33" i="145"/>
  <c r="D32" i="145"/>
  <c r="D26" i="145"/>
  <c r="D22" i="145"/>
  <c r="D19" i="145"/>
  <c r="D17" i="145"/>
  <c r="D15" i="145"/>
  <c r="A9" i="145"/>
  <c r="D112" i="142" l="1"/>
  <c r="D111" i="142"/>
  <c r="D109" i="142"/>
  <c r="D108" i="142"/>
  <c r="D107" i="142"/>
  <c r="D106" i="142"/>
  <c r="D105" i="142"/>
  <c r="D103" i="142"/>
  <c r="D101" i="142"/>
  <c r="D100" i="142"/>
  <c r="D99" i="142"/>
  <c r="D98" i="142"/>
  <c r="D97" i="142"/>
  <c r="D96" i="142"/>
  <c r="D95" i="142"/>
  <c r="D94" i="142"/>
  <c r="D93" i="142"/>
  <c r="D92" i="142"/>
  <c r="D91" i="142"/>
  <c r="D90" i="142"/>
  <c r="D88" i="142"/>
  <c r="D87" i="142"/>
  <c r="D85" i="142"/>
  <c r="D84" i="142"/>
  <c r="D81" i="142"/>
  <c r="D80" i="142"/>
  <c r="D79" i="142"/>
  <c r="D78" i="142"/>
  <c r="D77" i="142"/>
  <c r="D76" i="142"/>
  <c r="D75" i="142"/>
  <c r="D74" i="142"/>
  <c r="D73" i="142"/>
  <c r="D72" i="142"/>
  <c r="D71" i="142"/>
  <c r="D69" i="142"/>
  <c r="D68" i="142"/>
  <c r="D67" i="142"/>
  <c r="D66" i="142"/>
  <c r="D65" i="142"/>
  <c r="D63" i="142"/>
  <c r="D61" i="142"/>
  <c r="D60" i="142"/>
  <c r="D59" i="142"/>
  <c r="D58" i="142"/>
  <c r="D56" i="142"/>
  <c r="D55" i="142"/>
  <c r="D54" i="142"/>
  <c r="D52" i="142"/>
  <c r="D51" i="142"/>
  <c r="D50" i="142"/>
  <c r="D49" i="142"/>
  <c r="D48" i="142"/>
  <c r="D47" i="142"/>
  <c r="D46" i="142"/>
  <c r="D45" i="142"/>
  <c r="D44" i="142"/>
  <c r="D43" i="142"/>
  <c r="D41" i="142"/>
  <c r="D40" i="142"/>
  <c r="D39" i="142"/>
  <c r="D38" i="142"/>
  <c r="D37" i="142"/>
  <c r="D35" i="142"/>
  <c r="D34" i="142"/>
  <c r="D33" i="142"/>
  <c r="D31" i="142"/>
  <c r="D29" i="142"/>
  <c r="D28" i="142"/>
  <c r="D27" i="142"/>
  <c r="D26" i="142"/>
  <c r="D25" i="142"/>
  <c r="D24" i="142"/>
  <c r="D22" i="142"/>
  <c r="D21" i="142"/>
  <c r="D20" i="142"/>
  <c r="D19" i="142"/>
  <c r="D18" i="142"/>
  <c r="D17" i="142"/>
  <c r="D16" i="142"/>
  <c r="D15" i="142"/>
  <c r="D14" i="142"/>
  <c r="D13" i="142"/>
  <c r="D12" i="142"/>
  <c r="D116" i="143" l="1"/>
  <c r="D115" i="143"/>
  <c r="D114" i="143"/>
  <c r="D113" i="143"/>
  <c r="D111" i="143"/>
  <c r="D107" i="143"/>
  <c r="D106" i="143"/>
  <c r="D105" i="143"/>
  <c r="D103" i="143"/>
  <c r="D98" i="143"/>
  <c r="D96" i="143"/>
  <c r="D90" i="143"/>
  <c r="D87" i="143"/>
  <c r="D86" i="143"/>
  <c r="D85" i="143"/>
  <c r="D83" i="143"/>
  <c r="D81" i="143"/>
  <c r="D80" i="143"/>
  <c r="D77" i="143"/>
  <c r="D76" i="143"/>
  <c r="D75" i="143"/>
  <c r="D73" i="143"/>
  <c r="D72" i="143"/>
  <c r="D71" i="143"/>
  <c r="D66" i="143"/>
  <c r="D63" i="143"/>
  <c r="D62" i="143"/>
  <c r="D61" i="143"/>
  <c r="D59" i="143"/>
  <c r="D58" i="143"/>
  <c r="D51" i="143"/>
  <c r="D48" i="143"/>
  <c r="D47" i="143"/>
  <c r="D46" i="143"/>
  <c r="D40" i="143"/>
  <c r="D37" i="143"/>
  <c r="D33" i="143"/>
  <c r="D31" i="143"/>
  <c r="D30" i="143"/>
  <c r="D29" i="143"/>
  <c r="D26" i="143"/>
  <c r="D25" i="143"/>
  <c r="D23" i="143"/>
  <c r="D22" i="143"/>
  <c r="D19" i="143"/>
  <c r="D18" i="143"/>
  <c r="D15" i="143"/>
  <c r="D14" i="143"/>
  <c r="D12" i="143"/>
  <c r="A9" i="143"/>
</calcChain>
</file>

<file path=xl/sharedStrings.xml><?xml version="1.0" encoding="utf-8"?>
<sst xmlns="http://schemas.openxmlformats.org/spreadsheetml/2006/main" count="1051" uniqueCount="172">
  <si>
    <t>SeniSvna</t>
  </si>
  <si>
    <t>#</t>
  </si>
  <si>
    <t>danayofis kodi</t>
  </si>
  <si>
    <t>danayofis dasaxeleba</t>
  </si>
  <si>
    <t>Sesyidvis saSualeba</t>
  </si>
  <si>
    <t>Sesyidvebis dawyebis savaraudo vadebi</t>
  </si>
  <si>
    <t>Sesyidvis obieqtis miwodebis savaraudo vada</t>
  </si>
  <si>
    <t>2. Semsyidveli organizaciis saidentifikacio kodi</t>
  </si>
  <si>
    <t>3. Semsyidveli organizaciis dasaxeleba</t>
  </si>
  <si>
    <t>(xelmowera)</t>
  </si>
  <si>
    <t>g.S</t>
  </si>
  <si>
    <t>aveji</t>
  </si>
  <si>
    <t>I kv</t>
  </si>
  <si>
    <t>konsolidirebuli tenderi</t>
  </si>
  <si>
    <t>k.t</t>
  </si>
  <si>
    <t>5. saxelmwifo Sesyidvebis gegmiT gaTvaliswinebuli jamuri Tanxa dafinansebis wyaros Sesabamisad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</si>
  <si>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</si>
  <si>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</si>
  <si>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</si>
  <si>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saxmeleTo, wylisa da sahaero transportis damxmare momsaxurebebi</t>
  </si>
  <si>
    <t>saagentos ufrosi an uflebamosili piri</t>
  </si>
  <si>
    <t>ssip erovnuli satyeo saagento</t>
  </si>
  <si>
    <t xml:space="preserve">saofise manqana-danadgarebi, aRWurviloba da sakancelario nivTebi, kompiuterebis, printerebisa da avejis garda </t>
  </si>
  <si>
    <t>satransporto saSualebebisa da maTTan dakavSirebuli mowyobilobebis SekeTeba, teqnikuri momsaxureba da masTan dakavSirebuli momsaxurebebi</t>
  </si>
  <si>
    <t>I-IV kv</t>
  </si>
  <si>
    <t>e.t</t>
  </si>
  <si>
    <t xml:space="preserve">             saxelmwifo Sesyidvebis wliuri gegmis forma</t>
  </si>
  <si>
    <t>satyeo meurneobasTan dakavSirebuli momsaxurbebi</t>
  </si>
  <si>
    <t>gamoZiebasa da usafrTxoebasTan dakavSirebuli momsaxurebebi</t>
  </si>
  <si>
    <t xml:space="preserve">akumulatorebi, denis pirveladi wyaroebi da pirveladi elementebi </t>
  </si>
  <si>
    <t xml:space="preserve">internetmomsaxurebebi </t>
  </si>
  <si>
    <t>radio da satelevizio momsaxurebebi</t>
  </si>
  <si>
    <t>Gg.S</t>
  </si>
  <si>
    <t>sadazRvevo da sapensio momsaxurebebi</t>
  </si>
  <si>
    <t>091 00000</t>
  </si>
  <si>
    <t xml:space="preserve">sawvavi  </t>
  </si>
  <si>
    <t>nawilebi da aqsesuarebi satransporto saSualebebisa da maTi ZravebisTvis</t>
  </si>
  <si>
    <t>biblioTekebis, arqivebis, muzeumebisa da sxva kulturuli dawesebulebebis momsaxurebebi</t>
  </si>
  <si>
    <t>savaraudo Rirebuleba</t>
  </si>
  <si>
    <t xml:space="preserve">satelekomunikacio momsaxurebebi </t>
  </si>
  <si>
    <t xml:space="preserve">              danarTi #2</t>
  </si>
  <si>
    <t xml:space="preserve">personaluri kompiuterebis, saofise aparaturis, satelekomunikacio da audiovizualuri mowyobilobebis SekeTeba, teqnikuri momsaxureba da maTTan dakavSirebuli momsaxurebebi </t>
  </si>
  <si>
    <t>sxvadasxva qarxnuli warmoebis masala da maTTan dakavSirebuli sagnebi</t>
  </si>
  <si>
    <t>qselebi</t>
  </si>
  <si>
    <t>Senobis mowyobilobebis SekeTeba da teqnikuri momsaxureba</t>
  </si>
  <si>
    <t xml:space="preserve">tvirTis gadazidvisa da Senaxvis momsaxurebebi </t>
  </si>
  <si>
    <t>administraciuli momsaxureba</t>
  </si>
  <si>
    <t>axali ambebis saagentoebis momsaxurebebi</t>
  </si>
  <si>
    <t>092 00000</t>
  </si>
  <si>
    <t>navTobi, qvanaxSiri da navTobproduqtebi</t>
  </si>
  <si>
    <t>sxvadasxva zogadi da specialuri daniSnulebis manqana-danadgarebi</t>
  </si>
  <si>
    <t>avejis aqsesuarebi</t>
  </si>
  <si>
    <t>dasufTaveba da sanitariuli momsaxureba</t>
  </si>
  <si>
    <t xml:space="preserve">finansuri departamentis, Sesyidvebis sammarTvelos ufrosi                                                                                        </t>
  </si>
  <si>
    <t>samkaulebi, saaTebi da monaTesave nivTebi</t>
  </si>
  <si>
    <t xml:space="preserve">programuli uzrunvelyofis SemuSaveba da sakonsultacio momsaxurebebi </t>
  </si>
  <si>
    <t>monacemTa bazisa da operaciuli programuli paketebi</t>
  </si>
  <si>
    <t>markebi, Cekebis wignakebi, banknotebi, aqciebi, sareklamo masala, katalogebi  da saxelmZRvaneloebi</t>
  </si>
  <si>
    <t>radiotelefoniis, radiosatelegrafo, radio da telemauwyeblobis aparatura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</si>
  <si>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</si>
  <si>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sxvadasxva sakvebi produqtebi</t>
  </si>
  <si>
    <t>sasmelebi, Tambaqo da monaTesave produqtebi</t>
  </si>
  <si>
    <t>kanonis  me-10¹ muxlis me-3 punqtis "z" qvepunqti</t>
  </si>
  <si>
    <t>qselebis, internetisa da intranetis programuli paketebi</t>
  </si>
  <si>
    <t>mTliani an nawilobrivi samSeneblo samuSaoebi da samoqalaqo mSeneblobis samuSaoebi</t>
  </si>
  <si>
    <t>specialuri tansacmeli da aqsesuarebi</t>
  </si>
  <si>
    <t>iaraRi, sabrZolo masala da aqsesuarebi (Tanmdevi nawilebi)</t>
  </si>
  <si>
    <t>erToblivi tenderi</t>
  </si>
  <si>
    <t xml:space="preserve">sagangebo situaciebis dros gamosayenebeli mowyobilobebi da usafrTxoebis saSualebebi </t>
  </si>
  <si>
    <r>
      <t xml:space="preserve">4. dafinansebis wyaro                                                 </t>
    </r>
    <r>
      <rPr>
        <b/>
        <sz val="9"/>
        <rFont val="AcadNusx"/>
      </rPr>
      <t>saxelmwifo biujeti</t>
    </r>
  </si>
  <si>
    <t>safosto da sakuriero momsaxurebebi</t>
  </si>
  <si>
    <t>Senobis dasrulebis samuSaoebi</t>
  </si>
  <si>
    <t>samSeneblo-samontaJo samuSaoebi</t>
  </si>
  <si>
    <t>gasanaTebeli mowyobilobebi da eleqtronaTurebi</t>
  </si>
  <si>
    <t>sxvadasxva komerciuli momsaxureba da masTan dakavSirebuli momsaxurebebi</t>
  </si>
  <si>
    <t xml:space="preserve">restornebisa da kvebis sawarmoebis momsaxureobebi </t>
  </si>
  <si>
    <t>eleqtroZravebi, generatorebi da transformatorebi</t>
  </si>
  <si>
    <t>satelekomunikacio mowyobilobebi da aqsesuarebi</t>
  </si>
  <si>
    <t>tansacmeli</t>
  </si>
  <si>
    <t>034 00000</t>
  </si>
  <si>
    <t>metyeveobisa da tyekafvis produqtebi</t>
  </si>
  <si>
    <t>soflis meurneobasTan dakavSirebuli momsaxurebebi</t>
  </si>
  <si>
    <t>sasuqebi da nitrogenuli naerTebi</t>
  </si>
  <si>
    <t xml:space="preserve">qaRaldis an muyaos saregistracio Jurnalebi/wignebi, sabuRaltro wignebi, formebi da sxva nabeWdi sakancelario nivTebi </t>
  </si>
  <si>
    <t>satreningo momsaxurebebi</t>
  </si>
  <si>
    <t>avtomanqanebis recxva</t>
  </si>
  <si>
    <t>saamqros danadgarebi</t>
  </si>
  <si>
    <t>traqtorebi</t>
  </si>
  <si>
    <t xml:space="preserve">samSeneblo masalebi da damxmare samSeneblo masalebi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</si>
  <si>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</si>
  <si>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>saRebavebi, laqebi da mastikebi</t>
  </si>
  <si>
    <t>struqturuli masalebi</t>
  </si>
  <si>
    <t>danadgarebi meqanikuri energiis warmoebisa da gamoyenebisTvis</t>
  </si>
  <si>
    <t>tumboebis, sarqvelebis, onkanebisa da liTonis konteinerebis, aseve, manqana-danadgarebis SekeTeba da teqnikuri momsaxureba</t>
  </si>
  <si>
    <t>optikuri xelsawyoebi</t>
  </si>
  <si>
    <t>tele da radiosignalis mimRebebi da audio an videogamosaxulebis Camweri an aRwarmoebis aparatura</t>
  </si>
  <si>
    <t>arqiteqturuli da masTan dakavSirebuli momsaxurebebi</t>
  </si>
  <si>
    <t>II kv</t>
  </si>
  <si>
    <t>II-IV kv</t>
  </si>
  <si>
    <t>fexsacmeli</t>
  </si>
  <si>
    <t>sportuli saqoneli da aRWurviloba - (inventari)</t>
  </si>
  <si>
    <t>kompiuteruli mowyobilobebi da aqsesuarebi</t>
  </si>
  <si>
    <t>sanavigacio da meteorologiuri xelsawyoebi</t>
  </si>
  <si>
    <t>sainJinro momsaxurebebi</t>
  </si>
  <si>
    <t>gamagrilebeli da saventilacio mowyobilobebi</t>
  </si>
  <si>
    <t xml:space="preserve">               danarTi #1</t>
  </si>
  <si>
    <r>
      <t xml:space="preserve">4. dafinansebis wyaro                                                                                </t>
    </r>
    <r>
      <rPr>
        <b/>
        <sz val="9"/>
        <rFont val="AcadNusx"/>
      </rPr>
      <t>sakuTari saxsrebi</t>
    </r>
  </si>
  <si>
    <t>09200000</t>
  </si>
  <si>
    <t>mosavlis asaRebi manqanebi</t>
  </si>
  <si>
    <t>specializebuli sasoflo-sameurneo an satyeo daniSnulebis manqana-danadgarebi</t>
  </si>
  <si>
    <t>samuSao tansacmeli, spectansacmeli da aqsesuarebi</t>
  </si>
  <si>
    <t>garedan Casacmeli tansacmeli</t>
  </si>
  <si>
    <t>sabargo nivTebi, sasarajo nakeTobebi, tomrebi da CanTebi</t>
  </si>
  <si>
    <t>teqstilis narTi da Zafi</t>
  </si>
  <si>
    <t>tyavis, teqstilis, rezinisa da plastmasis narCeni</t>
  </si>
  <si>
    <t>nabeWdi wignebi, broSurebi da sainformacio furclebi</t>
  </si>
  <si>
    <t xml:space="preserve"> sxvadasxva nabeWdi masala</t>
  </si>
  <si>
    <t xml:space="preserve"> sufTa qimikatebi da sxvadasxva qimiuri nivTierebebis produqtebi</t>
  </si>
  <si>
    <t>eleqtroenergiis gamanawilebeli da sakontrolo aparatura</t>
  </si>
  <si>
    <t>izolirebuli mavTuli da kabeli</t>
  </si>
  <si>
    <t>samedicino mowyobilobebi</t>
  </si>
  <si>
    <t>avtosatransporto saualebebi</t>
  </si>
  <si>
    <t>motocikletebi, velosipedebi da motocikletis etlebi</t>
  </si>
  <si>
    <t>sxvadasxva satransporto mowyobiloba da saTadarigo nawilebi</t>
  </si>
  <si>
    <t>individualuri da damxmare mowyobilobebi</t>
  </si>
  <si>
    <t>sazomi xelsawyoebi</t>
  </si>
  <si>
    <t>qsovilis nivTebi</t>
  </si>
  <si>
    <t>saojaxo teqnika</t>
  </si>
  <si>
    <t>sawmendi da saprialebeli produqcia</t>
  </si>
  <si>
    <t>bunebrivi wyali</t>
  </si>
  <si>
    <t>amwe da gadasazidi mowyobilobebi da maTi nawilebi</t>
  </si>
  <si>
    <t>Carxebi</t>
  </si>
  <si>
    <t>xelsawyoebi, saketebi, gasaRebebi, anjamebi, damWerebi, Wajvebi da zambarebi/resorebi</t>
  </si>
  <si>
    <t>saqmiani garigebebisa da piradi saqmeebis marTvis programuli paketebi</t>
  </si>
  <si>
    <t>wylis ganawileba da masTan dakavSirebuli momsaxurebebi</t>
  </si>
  <si>
    <t>gazis ganawileba da masaTan dakavSirebuli momsaxurebebi</t>
  </si>
  <si>
    <t>teqnikuri Semowmeba, analizi da sakonsultacio momsaxurebebi</t>
  </si>
  <si>
    <t>WaburRilis koSkuris ganTavsebasTan dakavSirebuli momsaxurebebi</t>
  </si>
  <si>
    <t>mebaRCeobasTan dakavSirebuli momsaxurebebi</t>
  </si>
  <si>
    <t xml:space="preserve"> bazris kvleva da ekonomikuri kvleva; gamokiTxvebi da statistika</t>
  </si>
  <si>
    <t>biznessa da menejmentTan dakavSirebuli konsultaciebi da momsaxurebebi</t>
  </si>
  <si>
    <t xml:space="preserve"> beWdva da masTan dakavSirebuli momsaxurebebi</t>
  </si>
  <si>
    <t>Camdinare wylebTan dakavSirebuli momsaxurebebi</t>
  </si>
  <si>
    <t>sxvadasxva momsaxureba</t>
  </si>
  <si>
    <t xml:space="preserve">finansuri departamentis, Sesyidvebis sammarTvelos ufrosi                                                                                     </t>
  </si>
  <si>
    <t xml:space="preserve">                  danarTi #3</t>
  </si>
  <si>
    <t xml:space="preserve">             saxelmwifo Sesyidvebis wliuri gegmis forma 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</si>
  <si>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30 ianvari 2024 weli</t>
    </r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</si>
  <si>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</si>
  <si>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t xml:space="preserve">finansuri departamentis, Sesyidvebis sammarTvelos ufrosi                                                                                                 </t>
  </si>
  <si>
    <t xml:space="preserve">                  danarTi #4</t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</si>
  <si>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(GIZ) (GCF)      </t>
    </r>
    <r>
      <rPr>
        <b/>
        <sz val="9"/>
        <rFont val="AcadNusx"/>
      </rPr>
      <t xml:space="preserve">                                                                                       </t>
    </r>
  </si>
  <si>
    <t>ssip - erovnuli satyeo saagento</t>
  </si>
  <si>
    <t>miwis saTxreli da saxapavi manqanebi da maTi (maTTan dakavSirebuli) nawilebi</t>
  </si>
  <si>
    <t>sastumros momsaxureba</t>
  </si>
  <si>
    <t>saavtomobilo transportis momsaxurebebi</t>
  </si>
  <si>
    <t>sabanko da sainvesticio momsaxurebebi</t>
  </si>
  <si>
    <t>momsaxurebebi kvlevisa da eqsperimentuli ganviTarebis sferoSi</t>
  </si>
  <si>
    <t>mravalwliani (2 weli)</t>
  </si>
  <si>
    <t>sabuRaltro, auditoruli da fiskaluri momsaxurebebi</t>
  </si>
  <si>
    <t>ofisis muSaobis uzrunvelyofasTan dakavSirebuli 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</si>
  <si>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11 dekemberi 2024 weli</t>
    </r>
  </si>
  <si>
    <t>qviSa da Tixa</t>
  </si>
  <si>
    <t>III kv</t>
  </si>
  <si>
    <t>III-IV kv</t>
  </si>
  <si>
    <t>eleqtromowyobilobebi da aparatura</t>
  </si>
  <si>
    <t>IV kv</t>
  </si>
  <si>
    <t>kabelebi, mavTulebi da maTTan dakavSirebuli masalebi</t>
  </si>
  <si>
    <t>avzebi, rezervuarebi da konteinerebi; centraluri gaTbobis radiatorebi da boilerebi</t>
  </si>
  <si>
    <t>kino da videomomsaxurebebi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</si>
  <si>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
11 dekemberi 2024 weli</t>
    </r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</si>
  <si>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11 dekemberi 2024 weli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</si>
</sst>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35" x14ac:knownFonts="1">
    <font>
      <sz val="10"/>
      <name val="Arial"/>
      <charset val="204"/>
    </font>
    <font>
      <sz val="8"/>
      <name val="Arial"/>
      <family val="2"/>
      <charset val="204"/>
    </font>
    <font>
      <b/>
      <sz val="10"/>
      <name val="AcadNusx"/>
    </font>
    <font>
      <sz val="10"/>
      <name val="AcadNusx"/>
    </font>
    <font>
      <sz val="7"/>
      <name val="AcadNusx"/>
    </font>
    <font>
      <sz val="6"/>
      <name val="AcadNusx"/>
    </font>
    <font>
      <sz val="9"/>
      <name val="AcadNusx"/>
    </font>
    <font>
      <sz val="8"/>
      <name val="AcadNusx"/>
    </font>
    <font>
      <sz val="10"/>
      <color rgb="FFFF0000"/>
      <name val="AcadNusx"/>
    </font>
    <font>
      <b/>
      <sz val="8"/>
      <name val="AcadNusx"/>
    </font>
    <font>
      <sz val="7"/>
      <name val="Calibri"/>
      <family val="2"/>
      <charset val="204"/>
    </font>
    <font>
      <sz val="10"/>
      <name val="Arial"/>
      <family val="2"/>
    </font>
    <font>
      <sz val="6"/>
      <color rgb="FFFF0000"/>
      <name val="AcadNusx"/>
    </font>
    <font>
      <sz val="8"/>
      <color rgb="FFFF0000"/>
      <name val="AcadNusx"/>
    </font>
    <font>
      <b/>
      <i/>
      <sz val="9"/>
      <name val="AcadNusx"/>
    </font>
    <font>
      <b/>
      <sz val="9"/>
      <name val="AcadNusx"/>
    </font>
    <font>
      <sz val="9"/>
      <name val="Arial"/>
      <family val="2"/>
    </font>
    <font>
      <b/>
      <sz val="10"/>
      <color rgb="FFFF0000"/>
      <name val="AcadNusx"/>
    </font>
    <font>
      <b/>
      <sz val="9"/>
      <color rgb="FF00B050"/>
      <name val="AcadNusx"/>
    </font>
    <font>
      <b/>
      <sz val="9"/>
      <color rgb="FFFF0000"/>
      <name val="AcadNusx"/>
    </font>
    <font>
      <b/>
      <sz val="7"/>
      <color rgb="FF0070C0"/>
      <name val="AcadNusx"/>
    </font>
    <font>
      <b/>
      <sz val="12"/>
      <name val="AcadNusx"/>
    </font>
    <font>
      <b/>
      <sz val="10"/>
      <color rgb="FF00B050"/>
      <name val="AcadNusx"/>
    </font>
    <font>
      <sz val="10"/>
      <color rgb="FF00B050"/>
      <name val="AcadNusx"/>
    </font>
    <font>
      <sz val="9"/>
      <color rgb="FFFF0000"/>
      <name val="AcadNusx"/>
    </font>
    <font>
      <b/>
      <sz val="11"/>
      <name val="AcadNusx"/>
    </font>
    <font>
      <sz val="11"/>
      <name val="AcadNusx"/>
    </font>
    <font>
      <sz val="9"/>
      <color theme="1"/>
      <name val="AcadNusx"/>
    </font>
    <font>
      <sz val="8"/>
      <name val="Times New Roman"/>
      <family val="1"/>
      <charset val="204"/>
    </font>
    <font>
      <b/>
      <sz val="9"/>
      <name val="Times New Roman"/>
      <family val="1"/>
    </font>
    <font>
      <b/>
      <sz val="10"/>
      <color rgb="FF0070C0"/>
      <name val="AcadNusx"/>
    </font>
    <font>
      <b/>
      <sz val="9"/>
      <name val="Sylfaen"/>
      <family val="1"/>
    </font>
    <font>
      <sz val="8"/>
      <color rgb="FFFF0000"/>
      <name val="Times New Roman"/>
      <family val="1"/>
      <charset val="204"/>
    </font>
    <font>
      <b/>
      <sz val="8"/>
      <color rgb="FF0070C0"/>
      <name val="AcadNusx"/>
    </font>
    <font>
      <sz val="7"/>
      <color rgb="FFFF0000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0">
    <xf numFmtId="0" fontId="0" fillId="0" borderId="0" xfId="0"/>
    <xf numFmtId="164" fontId="3" fillId="0" borderId="0" xfId="1" applyNumberFormat="1" applyFont="1" applyFill="1" applyAlignment="1">
      <alignment vertical="center" wrapText="1"/>
    </xf>
    <xf numFmtId="164" fontId="7" fillId="0" borderId="0" xfId="1" applyNumberFormat="1" applyFont="1" applyFill="1" applyAlignment="1">
      <alignment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 wrapText="1"/>
    </xf>
    <xf numFmtId="1" fontId="3" fillId="0" borderId="0" xfId="1" applyNumberFormat="1" applyFont="1" applyFill="1" applyAlignment="1">
      <alignment vertical="center" wrapText="1"/>
    </xf>
    <xf numFmtId="1" fontId="3" fillId="0" borderId="0" xfId="1" applyNumberFormat="1" applyFont="1" applyFill="1" applyAlignment="1">
      <alignment horizontal="center" vertical="center" wrapText="1"/>
    </xf>
    <xf numFmtId="1" fontId="19" fillId="0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/>
    </xf>
    <xf numFmtId="1" fontId="19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/>
    </xf>
    <xf numFmtId="1" fontId="27" fillId="0" borderId="1" xfId="1" applyNumberFormat="1" applyFont="1" applyFill="1" applyBorder="1" applyAlignment="1">
      <alignment horizontal="center" vertical="center" wrapText="1"/>
    </xf>
    <xf numFmtId="43" fontId="3" fillId="0" borderId="0" xfId="1" applyFont="1" applyFill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 wrapText="1"/>
    </xf>
    <xf numFmtId="43" fontId="7" fillId="0" borderId="0" xfId="1" applyFont="1" applyFill="1" applyAlignment="1">
      <alignment vertical="center" wrapText="1"/>
    </xf>
    <xf numFmtId="1" fontId="2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2" fontId="25" fillId="0" borderId="0" xfId="1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2" fontId="2" fillId="0" borderId="0" xfId="1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2" fontId="21" fillId="0" borderId="0" xfId="1" applyNumberFormat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" fontId="32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2" fontId="25" fillId="0" borderId="3" xfId="0" applyNumberFormat="1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105</xdr:row>
      <xdr:rowOff>0</xdr:rowOff>
    </xdr:from>
    <xdr:to>
      <xdr:col>5</xdr:col>
      <xdr:colOff>981075</xdr:colOff>
      <xdr:row>105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305175" y="185070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108</xdr:row>
      <xdr:rowOff>9525</xdr:rowOff>
    </xdr:from>
    <xdr:to>
      <xdr:col>5</xdr:col>
      <xdr:colOff>981075</xdr:colOff>
      <xdr:row>108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3314700" y="19450050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105</xdr:row>
      <xdr:rowOff>9525</xdr:rowOff>
    </xdr:from>
    <xdr:to>
      <xdr:col>5</xdr:col>
      <xdr:colOff>971550</xdr:colOff>
      <xdr:row>105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3314700" y="18516600"/>
          <a:ext cx="13716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116</xdr:row>
      <xdr:rowOff>0</xdr:rowOff>
    </xdr:from>
    <xdr:to>
      <xdr:col>5</xdr:col>
      <xdr:colOff>981075</xdr:colOff>
      <xdr:row>116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6983B5F8-1B17-4CD7-A55E-A842D48BC92A}"/>
            </a:ext>
          </a:extLst>
        </xdr:cNvPr>
        <xdr:cNvSpPr>
          <a:spLocks noChangeShapeType="1"/>
        </xdr:cNvSpPr>
      </xdr:nvSpPr>
      <xdr:spPr bwMode="auto">
        <a:xfrm>
          <a:off x="4629150" y="448151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119</xdr:row>
      <xdr:rowOff>9525</xdr:rowOff>
    </xdr:from>
    <xdr:to>
      <xdr:col>5</xdr:col>
      <xdr:colOff>981075</xdr:colOff>
      <xdr:row>119</xdr:row>
      <xdr:rowOff>9525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D33FD521-95F9-4770-9F10-0E138F66556A}"/>
            </a:ext>
          </a:extLst>
        </xdr:cNvPr>
        <xdr:cNvSpPr>
          <a:spLocks noChangeShapeType="1"/>
        </xdr:cNvSpPr>
      </xdr:nvSpPr>
      <xdr:spPr bwMode="auto">
        <a:xfrm flipV="1">
          <a:off x="4629150" y="455866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116</xdr:row>
      <xdr:rowOff>9525</xdr:rowOff>
    </xdr:from>
    <xdr:to>
      <xdr:col>5</xdr:col>
      <xdr:colOff>971550</xdr:colOff>
      <xdr:row>116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6E663D8-0066-4DE0-8BAF-4BA3A4A884D0}"/>
            </a:ext>
          </a:extLst>
        </xdr:cNvPr>
        <xdr:cNvSpPr>
          <a:spLocks noChangeShapeType="1"/>
        </xdr:cNvSpPr>
      </xdr:nvSpPr>
      <xdr:spPr bwMode="auto">
        <a:xfrm flipV="1">
          <a:off x="4629150" y="44824650"/>
          <a:ext cx="2286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109</xdr:row>
      <xdr:rowOff>0</xdr:rowOff>
    </xdr:from>
    <xdr:to>
      <xdr:col>5</xdr:col>
      <xdr:colOff>981075</xdr:colOff>
      <xdr:row>109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B2957A49-D5B3-46F3-B27B-2D71291701A0}"/>
            </a:ext>
          </a:extLst>
        </xdr:cNvPr>
        <xdr:cNvSpPr>
          <a:spLocks noChangeShapeType="1"/>
        </xdr:cNvSpPr>
      </xdr:nvSpPr>
      <xdr:spPr bwMode="auto">
        <a:xfrm>
          <a:off x="4505325" y="4640580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</xdr:row>
      <xdr:rowOff>9525</xdr:rowOff>
    </xdr:from>
    <xdr:to>
      <xdr:col>5</xdr:col>
      <xdr:colOff>981075</xdr:colOff>
      <xdr:row>114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1FC25FC3-45FF-4BD5-BD2F-3068F0D66717}"/>
            </a:ext>
          </a:extLst>
        </xdr:cNvPr>
        <xdr:cNvSpPr>
          <a:spLocks noChangeShapeType="1"/>
        </xdr:cNvSpPr>
      </xdr:nvSpPr>
      <xdr:spPr bwMode="auto">
        <a:xfrm flipV="1">
          <a:off x="4505325" y="47358300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109</xdr:row>
      <xdr:rowOff>9525</xdr:rowOff>
    </xdr:from>
    <xdr:to>
      <xdr:col>5</xdr:col>
      <xdr:colOff>971550</xdr:colOff>
      <xdr:row>109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954AFB33-BE32-4C54-A687-7892A421A738}"/>
            </a:ext>
          </a:extLst>
        </xdr:cNvPr>
        <xdr:cNvSpPr>
          <a:spLocks noChangeShapeType="1"/>
        </xdr:cNvSpPr>
      </xdr:nvSpPr>
      <xdr:spPr bwMode="auto">
        <a:xfrm flipV="1">
          <a:off x="4505325" y="46415325"/>
          <a:ext cx="23145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0</xdr:rowOff>
    </xdr:from>
    <xdr:to>
      <xdr:col>5</xdr:col>
      <xdr:colOff>981075</xdr:colOff>
      <xdr:row>124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9972C2E6-81D8-4EBF-9CAC-EF1E6DBEBBFC}"/>
            </a:ext>
          </a:extLst>
        </xdr:cNvPr>
        <xdr:cNvSpPr>
          <a:spLocks noChangeShapeType="1"/>
        </xdr:cNvSpPr>
      </xdr:nvSpPr>
      <xdr:spPr bwMode="auto">
        <a:xfrm>
          <a:off x="4505325" y="533590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129</xdr:row>
      <xdr:rowOff>9525</xdr:rowOff>
    </xdr:from>
    <xdr:to>
      <xdr:col>5</xdr:col>
      <xdr:colOff>981075</xdr:colOff>
      <xdr:row>129</xdr:row>
      <xdr:rowOff>9525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6A6A0B61-1099-4503-95FC-C66449A21241}"/>
            </a:ext>
          </a:extLst>
        </xdr:cNvPr>
        <xdr:cNvSpPr>
          <a:spLocks noChangeShapeType="1"/>
        </xdr:cNvSpPr>
      </xdr:nvSpPr>
      <xdr:spPr bwMode="auto">
        <a:xfrm flipV="1">
          <a:off x="4505325" y="543115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124</xdr:row>
      <xdr:rowOff>9525</xdr:rowOff>
    </xdr:from>
    <xdr:to>
      <xdr:col>5</xdr:col>
      <xdr:colOff>971550</xdr:colOff>
      <xdr:row>124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BBEF15F8-D561-427D-8271-F3E2392B99DE}"/>
            </a:ext>
          </a:extLst>
        </xdr:cNvPr>
        <xdr:cNvSpPr>
          <a:spLocks noChangeShapeType="1"/>
        </xdr:cNvSpPr>
      </xdr:nvSpPr>
      <xdr:spPr bwMode="auto">
        <a:xfrm flipV="1">
          <a:off x="4505325" y="53368575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F72BCC55-A019-4A83-A2FF-E62907046B97}"/>
            </a:ext>
          </a:extLst>
        </xdr:cNvPr>
        <xdr:cNvSpPr>
          <a:spLocks noChangeShapeType="1"/>
        </xdr:cNvSpPr>
      </xdr:nvSpPr>
      <xdr:spPr bwMode="auto">
        <a:xfrm>
          <a:off x="5124450" y="54006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F9D0D70F-A381-4AE0-A4DF-A4DC301813C5}"/>
            </a:ext>
          </a:extLst>
        </xdr:cNvPr>
        <xdr:cNvSpPr>
          <a:spLocks noChangeShapeType="1"/>
        </xdr:cNvSpPr>
      </xdr:nvSpPr>
      <xdr:spPr bwMode="auto">
        <a:xfrm flipV="1">
          <a:off x="5133975" y="66770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9577DEC3-AE16-4B61-9D2E-A89438C08B74}"/>
            </a:ext>
          </a:extLst>
        </xdr:cNvPr>
        <xdr:cNvSpPr>
          <a:spLocks noChangeShapeType="1"/>
        </xdr:cNvSpPr>
      </xdr:nvSpPr>
      <xdr:spPr bwMode="auto">
        <a:xfrm flipV="1">
          <a:off x="5133975" y="541020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DD2E91B0-AFB7-4A3E-86FB-9498CC9D16D7}"/>
            </a:ext>
          </a:extLst>
        </xdr:cNvPr>
        <xdr:cNvSpPr>
          <a:spLocks noChangeShapeType="1"/>
        </xdr:cNvSpPr>
      </xdr:nvSpPr>
      <xdr:spPr bwMode="auto">
        <a:xfrm>
          <a:off x="5124450" y="3695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84027639-BC94-4F3C-BC87-B8BD7029E9C4}"/>
            </a:ext>
          </a:extLst>
        </xdr:cNvPr>
        <xdr:cNvSpPr>
          <a:spLocks noChangeShapeType="1"/>
        </xdr:cNvSpPr>
      </xdr:nvSpPr>
      <xdr:spPr bwMode="auto">
        <a:xfrm flipV="1">
          <a:off x="5133975" y="456247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B58BD838-1C3A-4C77-93F0-8554DDDE8330}"/>
            </a:ext>
          </a:extLst>
        </xdr:cNvPr>
        <xdr:cNvSpPr>
          <a:spLocks noChangeShapeType="1"/>
        </xdr:cNvSpPr>
      </xdr:nvSpPr>
      <xdr:spPr bwMode="auto">
        <a:xfrm flipV="1">
          <a:off x="5133975" y="3705225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FCC8CC57-7FB8-49B9-8ABB-024B1538B7C7}"/>
            </a:ext>
          </a:extLst>
        </xdr:cNvPr>
        <xdr:cNvSpPr>
          <a:spLocks noChangeShapeType="1"/>
        </xdr:cNvSpPr>
      </xdr:nvSpPr>
      <xdr:spPr bwMode="auto">
        <a:xfrm>
          <a:off x="5124450" y="3695700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E2042BB4-D5E2-41FC-B41E-1C20BBDF10D3}"/>
            </a:ext>
          </a:extLst>
        </xdr:cNvPr>
        <xdr:cNvSpPr>
          <a:spLocks noChangeShapeType="1"/>
        </xdr:cNvSpPr>
      </xdr:nvSpPr>
      <xdr:spPr bwMode="auto">
        <a:xfrm flipV="1">
          <a:off x="5133975" y="456247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0BABF24D-7525-446E-8ADC-6DD09C357747}"/>
            </a:ext>
          </a:extLst>
        </xdr:cNvPr>
        <xdr:cNvSpPr>
          <a:spLocks noChangeShapeType="1"/>
        </xdr:cNvSpPr>
      </xdr:nvSpPr>
      <xdr:spPr bwMode="auto">
        <a:xfrm flipV="1">
          <a:off x="5133975" y="3705225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30</xdr:row>
      <xdr:rowOff>0</xdr:rowOff>
    </xdr:from>
    <xdr:to>
      <xdr:col>5</xdr:col>
      <xdr:colOff>981075</xdr:colOff>
      <xdr:row>30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8476E6DF-90F6-4B3A-977D-EDA125DF5B7C}"/>
            </a:ext>
          </a:extLst>
        </xdr:cNvPr>
        <xdr:cNvSpPr>
          <a:spLocks noChangeShapeType="1"/>
        </xdr:cNvSpPr>
      </xdr:nvSpPr>
      <xdr:spPr bwMode="auto">
        <a:xfrm>
          <a:off x="5124450" y="10306050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35</xdr:row>
      <xdr:rowOff>9525</xdr:rowOff>
    </xdr:from>
    <xdr:to>
      <xdr:col>5</xdr:col>
      <xdr:colOff>981075</xdr:colOff>
      <xdr:row>35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878AF43C-606B-438B-B181-EB7D30A6C710}"/>
            </a:ext>
          </a:extLst>
        </xdr:cNvPr>
        <xdr:cNvSpPr>
          <a:spLocks noChangeShapeType="1"/>
        </xdr:cNvSpPr>
      </xdr:nvSpPr>
      <xdr:spPr bwMode="auto">
        <a:xfrm flipV="1">
          <a:off x="5133975" y="11582400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30</xdr:row>
      <xdr:rowOff>9525</xdr:rowOff>
    </xdr:from>
    <xdr:to>
      <xdr:col>5</xdr:col>
      <xdr:colOff>971550</xdr:colOff>
      <xdr:row>30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66318158-8FD7-4931-B520-C74D7898C1A6}"/>
            </a:ext>
          </a:extLst>
        </xdr:cNvPr>
        <xdr:cNvSpPr>
          <a:spLocks noChangeShapeType="1"/>
        </xdr:cNvSpPr>
      </xdr:nvSpPr>
      <xdr:spPr bwMode="auto">
        <a:xfrm flipV="1">
          <a:off x="5133975" y="10315575"/>
          <a:ext cx="1762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619125</xdr:colOff>
      <xdr:row>40</xdr:row>
      <xdr:rowOff>0</xdr:rowOff>
    </xdr:from>
    <xdr:to>
      <xdr:col>5</xdr:col>
      <xdr:colOff>981075</xdr:colOff>
      <xdr:row>40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B7B51388-9C8C-462F-A4C1-709D0FED9BD4}"/>
            </a:ext>
          </a:extLst>
        </xdr:cNvPr>
        <xdr:cNvSpPr>
          <a:spLocks noChangeShapeType="1"/>
        </xdr:cNvSpPr>
      </xdr:nvSpPr>
      <xdr:spPr bwMode="auto">
        <a:xfrm>
          <a:off x="5124450" y="1450657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45</xdr:row>
      <xdr:rowOff>9525</xdr:rowOff>
    </xdr:from>
    <xdr:to>
      <xdr:col>5</xdr:col>
      <xdr:colOff>981075</xdr:colOff>
      <xdr:row>45</xdr:row>
      <xdr:rowOff>9525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8301B427-47D7-4C21-9997-D1E94A282EDC}"/>
            </a:ext>
          </a:extLst>
        </xdr:cNvPr>
        <xdr:cNvSpPr>
          <a:spLocks noChangeShapeType="1"/>
        </xdr:cNvSpPr>
      </xdr:nvSpPr>
      <xdr:spPr bwMode="auto">
        <a:xfrm flipV="1">
          <a:off x="5133975" y="1578292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40</xdr:row>
      <xdr:rowOff>9525</xdr:rowOff>
    </xdr:from>
    <xdr:to>
      <xdr:col>5</xdr:col>
      <xdr:colOff>971550</xdr:colOff>
      <xdr:row>40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B9473F67-4B66-40B1-81DB-7E544AC30F01}"/>
            </a:ext>
          </a:extLst>
        </xdr:cNvPr>
        <xdr:cNvSpPr>
          <a:spLocks noChangeShapeType="1"/>
        </xdr:cNvSpPr>
      </xdr:nvSpPr>
      <xdr:spPr bwMode="auto">
        <a:xfrm flipV="1">
          <a:off x="5133975" y="14516100"/>
          <a:ext cx="1762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2"/>
  <sheetViews>
    <sheetView tabSelected="1" view="pageBreakPreview" topLeftCell="A104" zoomScale="120" zoomScaleNormal="145" zoomScaleSheetLayoutView="120" workbookViewId="0">
      <selection activeCell="C107" sqref="C107"/>
    </sheetView>
  </sheetViews>
  <sheetFormatPr defaultRowHeight="13.5" x14ac:dyDescent="0.2"/>
  <cols>
    <col min="1" max="1" width="3.85546875" style="19" customWidth="1"/>
    <col min="2" max="2" width="10" style="19" customWidth="1"/>
    <col min="3" max="3" width="55.5703125" style="20" customWidth="1"/>
    <col min="4" max="4" width="11.42578125" style="1" customWidth="1"/>
    <col min="5" max="5" width="10.42578125" style="20" customWidth="1"/>
    <col min="6" max="6" width="12.42578125" style="20" bestFit="1" customWidth="1"/>
    <col min="7" max="7" width="10.7109375" style="20" customWidth="1"/>
    <col min="8" max="8" width="43.5703125" style="20" customWidth="1"/>
    <col min="9" max="9" width="21.42578125" style="34" customWidth="1"/>
    <col min="10" max="10" width="20.85546875" style="40" customWidth="1"/>
    <col min="11" max="11" width="9.140625" style="20"/>
    <col min="12" max="16384" width="9.140625" style="21"/>
  </cols>
  <sheetData>
    <row r="1" spans="1:11" ht="6" customHeight="1" x14ac:dyDescent="0.2"/>
    <row r="2" spans="1:11" s="24" customFormat="1" ht="23.25" customHeight="1" x14ac:dyDescent="0.2">
      <c r="A2" s="20"/>
      <c r="B2" s="20"/>
      <c r="C2" s="20"/>
      <c r="D2" s="1"/>
      <c r="E2" s="20"/>
      <c r="F2" s="20"/>
      <c r="G2" s="20"/>
      <c r="H2" s="22" t="s">
        <v>40</v>
      </c>
      <c r="I2" s="34"/>
      <c r="J2" s="23"/>
      <c r="K2" s="23"/>
    </row>
    <row r="3" spans="1:11" s="24" customFormat="1" ht="20.25" customHeight="1" x14ac:dyDescent="0.2">
      <c r="A3" s="20"/>
      <c r="B3" s="20"/>
      <c r="C3" s="77" t="s">
        <v>26</v>
      </c>
      <c r="D3" s="77"/>
      <c r="E3" s="77"/>
      <c r="F3" s="77"/>
      <c r="G3" s="77"/>
      <c r="H3" s="20"/>
      <c r="I3" s="34"/>
      <c r="J3" s="23"/>
      <c r="K3" s="23"/>
    </row>
    <row r="4" spans="1:11" s="24" customFormat="1" ht="26.25" customHeight="1" x14ac:dyDescent="0.2">
      <c r="A4" s="78" t="s">
        <v>170</v>
      </c>
      <c r="B4" s="79"/>
      <c r="C4" s="79"/>
      <c r="D4" s="79"/>
      <c r="E4" s="80"/>
      <c r="F4" s="84" t="s">
        <v>7</v>
      </c>
      <c r="G4" s="85"/>
      <c r="H4" s="86"/>
      <c r="I4" s="62"/>
      <c r="J4" s="23"/>
      <c r="K4" s="23"/>
    </row>
    <row r="5" spans="1:11" s="24" customFormat="1" ht="18.75" customHeight="1" x14ac:dyDescent="0.2">
      <c r="A5" s="81"/>
      <c r="B5" s="82"/>
      <c r="C5" s="82"/>
      <c r="D5" s="82"/>
      <c r="E5" s="83"/>
      <c r="F5" s="87">
        <v>204578581</v>
      </c>
      <c r="G5" s="88"/>
      <c r="H5" s="89"/>
      <c r="I5" s="62"/>
      <c r="J5" s="23"/>
      <c r="K5" s="23"/>
    </row>
    <row r="6" spans="1:11" s="24" customFormat="1" ht="22.5" customHeight="1" x14ac:dyDescent="0.2">
      <c r="A6" s="78" t="s">
        <v>8</v>
      </c>
      <c r="B6" s="79"/>
      <c r="C6" s="79"/>
      <c r="D6" s="79"/>
      <c r="E6" s="80"/>
      <c r="F6" s="78" t="s">
        <v>69</v>
      </c>
      <c r="G6" s="90"/>
      <c r="H6" s="91"/>
      <c r="I6" s="62"/>
      <c r="J6" s="23"/>
      <c r="K6" s="23"/>
    </row>
    <row r="7" spans="1:11" s="24" customFormat="1" ht="21.75" customHeight="1" x14ac:dyDescent="0.2">
      <c r="A7" s="87" t="s">
        <v>21</v>
      </c>
      <c r="B7" s="88"/>
      <c r="C7" s="88"/>
      <c r="D7" s="88"/>
      <c r="E7" s="89"/>
      <c r="F7" s="92"/>
      <c r="G7" s="93"/>
      <c r="H7" s="94"/>
      <c r="I7" s="34"/>
      <c r="J7" s="23"/>
      <c r="K7" s="23"/>
    </row>
    <row r="8" spans="1:11" s="24" customFormat="1" ht="21" customHeight="1" x14ac:dyDescent="0.2">
      <c r="A8" s="78" t="s">
        <v>15</v>
      </c>
      <c r="B8" s="79"/>
      <c r="C8" s="79"/>
      <c r="D8" s="79"/>
      <c r="E8" s="79"/>
      <c r="F8" s="79"/>
      <c r="G8" s="79"/>
      <c r="H8" s="80"/>
      <c r="I8" s="62"/>
      <c r="J8" s="23"/>
      <c r="K8" s="23"/>
    </row>
    <row r="9" spans="1:11" s="65" customFormat="1" ht="15.75" customHeight="1" x14ac:dyDescent="0.2">
      <c r="A9" s="97">
        <v>14997457</v>
      </c>
      <c r="B9" s="98"/>
      <c r="C9" s="98"/>
      <c r="D9" s="98"/>
      <c r="E9" s="98"/>
      <c r="F9" s="98"/>
      <c r="G9" s="98"/>
      <c r="H9" s="98"/>
      <c r="I9" s="63"/>
      <c r="J9" s="64"/>
    </row>
    <row r="10" spans="1:11" s="66" customFormat="1" ht="66.75" customHeight="1" x14ac:dyDescent="0.2">
      <c r="A10" s="27" t="s">
        <v>1</v>
      </c>
      <c r="B10" s="27" t="s">
        <v>2</v>
      </c>
      <c r="C10" s="27" t="s">
        <v>3</v>
      </c>
      <c r="D10" s="4" t="s">
        <v>38</v>
      </c>
      <c r="E10" s="27" t="s">
        <v>4</v>
      </c>
      <c r="F10" s="27" t="s">
        <v>5</v>
      </c>
      <c r="G10" s="27" t="s">
        <v>6</v>
      </c>
      <c r="H10" s="27" t="s">
        <v>0</v>
      </c>
      <c r="I10" s="34"/>
      <c r="J10" s="64"/>
      <c r="K10" s="65"/>
    </row>
    <row r="11" spans="1:11" s="66" customFormat="1" ht="15" customHeight="1" x14ac:dyDescent="0.2">
      <c r="A11" s="27">
        <v>1</v>
      </c>
      <c r="B11" s="27">
        <v>2</v>
      </c>
      <c r="C11" s="27">
        <v>3</v>
      </c>
      <c r="D11" s="3">
        <v>4</v>
      </c>
      <c r="E11" s="27">
        <v>5</v>
      </c>
      <c r="F11" s="27">
        <v>6</v>
      </c>
      <c r="G11" s="27">
        <v>7</v>
      </c>
      <c r="H11" s="27">
        <v>8</v>
      </c>
      <c r="I11" s="34"/>
      <c r="J11" s="64"/>
      <c r="K11" s="65"/>
    </row>
    <row r="12" spans="1:11" s="20" customFormat="1" ht="23.25" customHeight="1" x14ac:dyDescent="0.2">
      <c r="A12" s="27">
        <v>1</v>
      </c>
      <c r="B12" s="27" t="s">
        <v>79</v>
      </c>
      <c r="C12" s="27" t="s">
        <v>80</v>
      </c>
      <c r="D12" s="3">
        <f>5200-270</f>
        <v>4930</v>
      </c>
      <c r="E12" s="27" t="s">
        <v>10</v>
      </c>
      <c r="F12" s="29" t="s">
        <v>12</v>
      </c>
      <c r="G12" s="29" t="s">
        <v>24</v>
      </c>
      <c r="H12" s="30"/>
    </row>
    <row r="13" spans="1:11" s="20" customFormat="1" ht="31.5" customHeight="1" x14ac:dyDescent="0.2">
      <c r="A13" s="27">
        <v>2</v>
      </c>
      <c r="B13" s="29" t="s">
        <v>34</v>
      </c>
      <c r="C13" s="27" t="s">
        <v>35</v>
      </c>
      <c r="D13" s="11">
        <f>952882-4139.42</f>
        <v>948742.58</v>
      </c>
      <c r="E13" s="27" t="s">
        <v>14</v>
      </c>
      <c r="F13" s="29" t="s">
        <v>12</v>
      </c>
      <c r="G13" s="29" t="s">
        <v>24</v>
      </c>
      <c r="H13" s="30" t="s">
        <v>13</v>
      </c>
      <c r="I13" s="38"/>
      <c r="J13" s="34"/>
    </row>
    <row r="14" spans="1:11" s="20" customFormat="1" ht="28.5" customHeight="1" x14ac:dyDescent="0.2">
      <c r="A14" s="27">
        <v>3</v>
      </c>
      <c r="B14" s="99" t="s">
        <v>48</v>
      </c>
      <c r="C14" s="99" t="s">
        <v>49</v>
      </c>
      <c r="D14" s="3">
        <f>1000-1000</f>
        <v>0</v>
      </c>
      <c r="E14" s="27" t="s">
        <v>10</v>
      </c>
      <c r="F14" s="29" t="s">
        <v>12</v>
      </c>
      <c r="G14" s="29" t="s">
        <v>24</v>
      </c>
      <c r="H14" s="30"/>
      <c r="I14" s="34"/>
    </row>
    <row r="15" spans="1:11" s="20" customFormat="1" ht="29.25" customHeight="1" x14ac:dyDescent="0.2">
      <c r="A15" s="27">
        <v>4</v>
      </c>
      <c r="B15" s="99"/>
      <c r="C15" s="99"/>
      <c r="D15" s="3">
        <f>27337-10879</f>
        <v>16458</v>
      </c>
      <c r="E15" s="27" t="s">
        <v>14</v>
      </c>
      <c r="F15" s="29" t="s">
        <v>12</v>
      </c>
      <c r="G15" s="29" t="s">
        <v>24</v>
      </c>
      <c r="H15" s="30" t="s">
        <v>13</v>
      </c>
      <c r="I15" s="34"/>
    </row>
    <row r="16" spans="1:11" s="20" customFormat="1" ht="32.25" customHeight="1" x14ac:dyDescent="0.2">
      <c r="A16" s="27">
        <v>5</v>
      </c>
      <c r="B16" s="27">
        <v>15800000</v>
      </c>
      <c r="C16" s="27" t="s">
        <v>60</v>
      </c>
      <c r="D16" s="3">
        <f>700-500</f>
        <v>200</v>
      </c>
      <c r="E16" s="27" t="s">
        <v>10</v>
      </c>
      <c r="F16" s="29" t="s">
        <v>12</v>
      </c>
      <c r="G16" s="29" t="s">
        <v>24</v>
      </c>
      <c r="H16" s="30" t="s">
        <v>59</v>
      </c>
      <c r="I16" s="34"/>
      <c r="J16" s="40"/>
    </row>
    <row r="17" spans="1:10" s="35" customFormat="1" ht="32.25" customHeight="1" x14ac:dyDescent="0.2">
      <c r="A17" s="27">
        <v>6</v>
      </c>
      <c r="B17" s="27">
        <v>15900000</v>
      </c>
      <c r="C17" s="27" t="s">
        <v>61</v>
      </c>
      <c r="D17" s="3">
        <f>4006+5000</f>
        <v>9006</v>
      </c>
      <c r="E17" s="27" t="s">
        <v>10</v>
      </c>
      <c r="F17" s="29" t="s">
        <v>12</v>
      </c>
      <c r="G17" s="29" t="s">
        <v>24</v>
      </c>
      <c r="H17" s="30" t="s">
        <v>59</v>
      </c>
      <c r="I17" s="34"/>
    </row>
    <row r="18" spans="1:10" s="20" customFormat="1" ht="38.25" customHeight="1" x14ac:dyDescent="0.2">
      <c r="A18" s="27">
        <v>7</v>
      </c>
      <c r="B18" s="27">
        <v>16700000</v>
      </c>
      <c r="C18" s="27" t="s">
        <v>87</v>
      </c>
      <c r="D18" s="8">
        <f>1965000-24780</f>
        <v>1940220</v>
      </c>
      <c r="E18" s="27" t="s">
        <v>25</v>
      </c>
      <c r="F18" s="29" t="s">
        <v>12</v>
      </c>
      <c r="G18" s="29" t="s">
        <v>24</v>
      </c>
      <c r="H18" s="30"/>
      <c r="I18" s="34"/>
    </row>
    <row r="19" spans="1:10" s="20" customFormat="1" ht="33.75" customHeight="1" x14ac:dyDescent="0.2">
      <c r="A19" s="27">
        <v>8</v>
      </c>
      <c r="B19" s="27">
        <v>18300000</v>
      </c>
      <c r="C19" s="27" t="s">
        <v>78</v>
      </c>
      <c r="D19" s="3">
        <f>3750-2650</f>
        <v>1100</v>
      </c>
      <c r="E19" s="27" t="s">
        <v>10</v>
      </c>
      <c r="F19" s="29" t="s">
        <v>12</v>
      </c>
      <c r="G19" s="29" t="s">
        <v>24</v>
      </c>
      <c r="H19" s="30"/>
      <c r="I19" s="38"/>
      <c r="J19" s="34"/>
    </row>
    <row r="20" spans="1:10" s="20" customFormat="1" ht="36" customHeight="1" x14ac:dyDescent="0.2">
      <c r="A20" s="27">
        <v>9</v>
      </c>
      <c r="B20" s="27">
        <v>18400000</v>
      </c>
      <c r="C20" s="27" t="s">
        <v>65</v>
      </c>
      <c r="D20" s="3">
        <f>275760-14000</f>
        <v>261760</v>
      </c>
      <c r="E20" s="27" t="s">
        <v>25</v>
      </c>
      <c r="F20" s="29" t="s">
        <v>12</v>
      </c>
      <c r="G20" s="29" t="s">
        <v>24</v>
      </c>
      <c r="H20" s="30"/>
      <c r="I20" s="38"/>
      <c r="J20" s="34"/>
    </row>
    <row r="21" spans="1:10" s="20" customFormat="1" ht="30.75" customHeight="1" x14ac:dyDescent="0.2">
      <c r="A21" s="27">
        <v>10</v>
      </c>
      <c r="B21" s="99">
        <v>18500000</v>
      </c>
      <c r="C21" s="99" t="s">
        <v>54</v>
      </c>
      <c r="D21" s="3">
        <f>1700+4250</f>
        <v>5950</v>
      </c>
      <c r="E21" s="27" t="s">
        <v>10</v>
      </c>
      <c r="F21" s="29" t="s">
        <v>12</v>
      </c>
      <c r="G21" s="29" t="s">
        <v>24</v>
      </c>
      <c r="H21" s="30"/>
      <c r="I21" s="34"/>
    </row>
    <row r="22" spans="1:10" s="20" customFormat="1" ht="34.5" customHeight="1" x14ac:dyDescent="0.2">
      <c r="A22" s="27">
        <v>11</v>
      </c>
      <c r="B22" s="99"/>
      <c r="C22" s="99"/>
      <c r="D22" s="3">
        <f>20010-9250</f>
        <v>10760</v>
      </c>
      <c r="E22" s="27" t="s">
        <v>10</v>
      </c>
      <c r="F22" s="29" t="s">
        <v>12</v>
      </c>
      <c r="G22" s="29" t="s">
        <v>24</v>
      </c>
      <c r="H22" s="30" t="s">
        <v>59</v>
      </c>
      <c r="I22" s="34"/>
    </row>
    <row r="23" spans="1:10" s="20" customFormat="1" ht="33.75" customHeight="1" x14ac:dyDescent="0.2">
      <c r="A23" s="27">
        <v>12</v>
      </c>
      <c r="B23" s="27">
        <v>18800000</v>
      </c>
      <c r="C23" s="27" t="s">
        <v>99</v>
      </c>
      <c r="D23" s="3">
        <v>2050</v>
      </c>
      <c r="E23" s="27" t="s">
        <v>10</v>
      </c>
      <c r="F23" s="29" t="s">
        <v>97</v>
      </c>
      <c r="G23" s="29" t="s">
        <v>98</v>
      </c>
      <c r="H23" s="30"/>
      <c r="I23" s="38"/>
      <c r="J23" s="34"/>
    </row>
    <row r="24" spans="1:10" s="20" customFormat="1" ht="39" customHeight="1" x14ac:dyDescent="0.2">
      <c r="A24" s="27">
        <v>13</v>
      </c>
      <c r="B24" s="27">
        <v>22400000</v>
      </c>
      <c r="C24" s="27" t="s">
        <v>57</v>
      </c>
      <c r="D24" s="3">
        <f>14280-2700</f>
        <v>11580</v>
      </c>
      <c r="E24" s="27" t="s">
        <v>25</v>
      </c>
      <c r="F24" s="29" t="s">
        <v>12</v>
      </c>
      <c r="G24" s="29" t="s">
        <v>24</v>
      </c>
      <c r="H24" s="30"/>
      <c r="I24" s="38"/>
    </row>
    <row r="25" spans="1:10" s="20" customFormat="1" ht="47.25" customHeight="1" x14ac:dyDescent="0.2">
      <c r="A25" s="27">
        <v>14</v>
      </c>
      <c r="B25" s="27">
        <v>22800000</v>
      </c>
      <c r="C25" s="27" t="s">
        <v>83</v>
      </c>
      <c r="D25" s="11">
        <f>10880-2939.66</f>
        <v>7940.34</v>
      </c>
      <c r="E25" s="27" t="s">
        <v>25</v>
      </c>
      <c r="F25" s="29" t="s">
        <v>12</v>
      </c>
      <c r="G25" s="29" t="s">
        <v>24</v>
      </c>
      <c r="H25" s="30"/>
      <c r="I25" s="38"/>
      <c r="J25" s="40"/>
    </row>
    <row r="26" spans="1:10" s="20" customFormat="1" ht="37.5" customHeight="1" x14ac:dyDescent="0.2">
      <c r="A26" s="27">
        <v>15</v>
      </c>
      <c r="B26" s="27">
        <v>24400000</v>
      </c>
      <c r="C26" s="27" t="s">
        <v>82</v>
      </c>
      <c r="D26" s="3">
        <f>299000-5465</f>
        <v>293535</v>
      </c>
      <c r="E26" s="27" t="s">
        <v>25</v>
      </c>
      <c r="F26" s="29" t="s">
        <v>12</v>
      </c>
      <c r="G26" s="29" t="s">
        <v>24</v>
      </c>
      <c r="H26" s="30"/>
    </row>
    <row r="27" spans="1:10" s="20" customFormat="1" ht="33.75" customHeight="1" x14ac:dyDescent="0.2">
      <c r="A27" s="27">
        <v>16</v>
      </c>
      <c r="B27" s="99">
        <v>30100000</v>
      </c>
      <c r="C27" s="99" t="s">
        <v>22</v>
      </c>
      <c r="D27" s="12">
        <f>12204.26-3400</f>
        <v>8804.26</v>
      </c>
      <c r="E27" s="27" t="s">
        <v>25</v>
      </c>
      <c r="F27" s="29" t="s">
        <v>12</v>
      </c>
      <c r="G27" s="29" t="s">
        <v>24</v>
      </c>
      <c r="H27" s="67"/>
      <c r="I27" s="34"/>
      <c r="J27" s="40"/>
    </row>
    <row r="28" spans="1:10" s="20" customFormat="1" ht="28.5" customHeight="1" x14ac:dyDescent="0.2">
      <c r="A28" s="27">
        <v>17</v>
      </c>
      <c r="B28" s="99"/>
      <c r="C28" s="99"/>
      <c r="D28" s="9">
        <f>26000-8687</f>
        <v>17313</v>
      </c>
      <c r="E28" s="27" t="s">
        <v>14</v>
      </c>
      <c r="F28" s="29" t="s">
        <v>12</v>
      </c>
      <c r="G28" s="29" t="s">
        <v>24</v>
      </c>
      <c r="H28" s="30" t="s">
        <v>13</v>
      </c>
      <c r="I28" s="34"/>
      <c r="J28" s="40"/>
    </row>
    <row r="29" spans="1:10" s="20" customFormat="1" ht="30" customHeight="1" x14ac:dyDescent="0.2">
      <c r="A29" s="27">
        <v>18</v>
      </c>
      <c r="B29" s="95">
        <v>30200000</v>
      </c>
      <c r="C29" s="95" t="s">
        <v>101</v>
      </c>
      <c r="D29" s="10">
        <f>216500+101500</f>
        <v>318000</v>
      </c>
      <c r="E29" s="27" t="s">
        <v>14</v>
      </c>
      <c r="F29" s="29" t="s">
        <v>12</v>
      </c>
      <c r="G29" s="29" t="s">
        <v>24</v>
      </c>
      <c r="H29" s="30" t="s">
        <v>13</v>
      </c>
      <c r="I29" s="34"/>
      <c r="J29" s="40"/>
    </row>
    <row r="30" spans="1:10" s="20" customFormat="1" ht="30" customHeight="1" x14ac:dyDescent="0.2">
      <c r="A30" s="27">
        <v>19</v>
      </c>
      <c r="B30" s="100"/>
      <c r="C30" s="100"/>
      <c r="D30" s="9">
        <v>1588</v>
      </c>
      <c r="E30" s="27" t="s">
        <v>14</v>
      </c>
      <c r="F30" s="29" t="s">
        <v>166</v>
      </c>
      <c r="G30" s="29" t="s">
        <v>166</v>
      </c>
      <c r="H30" s="30" t="s">
        <v>13</v>
      </c>
      <c r="I30" s="34"/>
      <c r="J30" s="40"/>
    </row>
    <row r="31" spans="1:10" s="20" customFormat="1" ht="28.5" customHeight="1" x14ac:dyDescent="0.2">
      <c r="A31" s="27">
        <v>20</v>
      </c>
      <c r="B31" s="100"/>
      <c r="C31" s="100"/>
      <c r="D31" s="10">
        <f>9299+430</f>
        <v>9729</v>
      </c>
      <c r="E31" s="27" t="s">
        <v>10</v>
      </c>
      <c r="F31" s="29" t="s">
        <v>12</v>
      </c>
      <c r="G31" s="29" t="s">
        <v>24</v>
      </c>
      <c r="H31" s="30"/>
      <c r="I31" s="34"/>
      <c r="J31" s="40"/>
    </row>
    <row r="32" spans="1:10" s="20" customFormat="1" ht="28.5" customHeight="1" x14ac:dyDescent="0.2">
      <c r="A32" s="27">
        <v>21</v>
      </c>
      <c r="B32" s="96"/>
      <c r="C32" s="96"/>
      <c r="D32" s="9">
        <v>270</v>
      </c>
      <c r="E32" s="27" t="s">
        <v>10</v>
      </c>
      <c r="F32" s="29" t="s">
        <v>163</v>
      </c>
      <c r="G32" s="29" t="s">
        <v>164</v>
      </c>
      <c r="H32" s="30"/>
      <c r="I32" s="34"/>
      <c r="J32" s="40"/>
    </row>
    <row r="33" spans="1:10" s="20" customFormat="1" ht="34.5" customHeight="1" x14ac:dyDescent="0.2">
      <c r="A33" s="27">
        <v>22</v>
      </c>
      <c r="B33" s="27">
        <v>31100000</v>
      </c>
      <c r="C33" s="27" t="s">
        <v>76</v>
      </c>
      <c r="D33" s="3">
        <f>1000-875</f>
        <v>125</v>
      </c>
      <c r="E33" s="27" t="s">
        <v>10</v>
      </c>
      <c r="F33" s="29" t="s">
        <v>12</v>
      </c>
      <c r="G33" s="29" t="s">
        <v>24</v>
      </c>
      <c r="H33" s="30"/>
      <c r="I33" s="38"/>
      <c r="J33" s="34"/>
    </row>
    <row r="34" spans="1:10" s="20" customFormat="1" ht="26.25" customHeight="1" x14ac:dyDescent="0.2">
      <c r="A34" s="27">
        <v>23</v>
      </c>
      <c r="B34" s="99">
        <v>31400000</v>
      </c>
      <c r="C34" s="99" t="s">
        <v>29</v>
      </c>
      <c r="D34" s="3">
        <f>2000+3672</f>
        <v>5672</v>
      </c>
      <c r="E34" s="27" t="s">
        <v>10</v>
      </c>
      <c r="F34" s="29" t="s">
        <v>12</v>
      </c>
      <c r="G34" s="29" t="s">
        <v>24</v>
      </c>
      <c r="H34" s="30"/>
      <c r="I34" s="38"/>
      <c r="J34" s="34"/>
    </row>
    <row r="35" spans="1:10" s="20" customFormat="1" ht="29.25" customHeight="1" x14ac:dyDescent="0.2">
      <c r="A35" s="27">
        <v>24</v>
      </c>
      <c r="B35" s="99"/>
      <c r="C35" s="99"/>
      <c r="D35" s="3">
        <f>19505-5070</f>
        <v>14435</v>
      </c>
      <c r="E35" s="27" t="s">
        <v>14</v>
      </c>
      <c r="F35" s="29" t="s">
        <v>12</v>
      </c>
      <c r="G35" s="29" t="s">
        <v>24</v>
      </c>
      <c r="H35" s="30" t="s">
        <v>13</v>
      </c>
      <c r="I35" s="38"/>
      <c r="J35" s="34"/>
    </row>
    <row r="36" spans="1:10" s="20" customFormat="1" ht="34.5" customHeight="1" x14ac:dyDescent="0.2">
      <c r="A36" s="27">
        <v>25</v>
      </c>
      <c r="B36" s="27">
        <v>31500000</v>
      </c>
      <c r="C36" s="27" t="s">
        <v>73</v>
      </c>
      <c r="D36" s="3">
        <v>17180</v>
      </c>
      <c r="E36" s="27" t="s">
        <v>25</v>
      </c>
      <c r="F36" s="29" t="s">
        <v>166</v>
      </c>
      <c r="G36" s="29" t="s">
        <v>166</v>
      </c>
      <c r="H36" s="44"/>
    </row>
    <row r="37" spans="1:10" s="20" customFormat="1" ht="39.75" customHeight="1" x14ac:dyDescent="0.2">
      <c r="A37" s="27">
        <v>26</v>
      </c>
      <c r="B37" s="27">
        <v>32200000</v>
      </c>
      <c r="C37" s="27" t="s">
        <v>58</v>
      </c>
      <c r="D37" s="3">
        <f>9000+994</f>
        <v>9994</v>
      </c>
      <c r="E37" s="27" t="s">
        <v>10</v>
      </c>
      <c r="F37" s="29" t="s">
        <v>12</v>
      </c>
      <c r="G37" s="29" t="s">
        <v>24</v>
      </c>
      <c r="H37" s="30"/>
      <c r="I37" s="38"/>
      <c r="J37" s="34"/>
    </row>
    <row r="38" spans="1:10" s="20" customFormat="1" ht="33.75" customHeight="1" x14ac:dyDescent="0.2">
      <c r="A38" s="27">
        <v>27</v>
      </c>
      <c r="B38" s="95">
        <v>32300000</v>
      </c>
      <c r="C38" s="95" t="s">
        <v>95</v>
      </c>
      <c r="D38" s="8">
        <f>5600-398</f>
        <v>5202</v>
      </c>
      <c r="E38" s="27" t="s">
        <v>10</v>
      </c>
      <c r="F38" s="29" t="s">
        <v>12</v>
      </c>
      <c r="G38" s="29" t="s">
        <v>24</v>
      </c>
      <c r="H38" s="44"/>
    </row>
    <row r="39" spans="1:10" s="20" customFormat="1" ht="33.75" customHeight="1" x14ac:dyDescent="0.2">
      <c r="A39" s="27">
        <v>28</v>
      </c>
      <c r="B39" s="96"/>
      <c r="C39" s="96"/>
      <c r="D39" s="3">
        <f>4300+398</f>
        <v>4698</v>
      </c>
      <c r="E39" s="27" t="s">
        <v>10</v>
      </c>
      <c r="F39" s="29" t="s">
        <v>163</v>
      </c>
      <c r="G39" s="29" t="s">
        <v>164</v>
      </c>
      <c r="H39" s="44"/>
    </row>
    <row r="40" spans="1:10" s="20" customFormat="1" ht="33.75" customHeight="1" x14ac:dyDescent="0.2">
      <c r="A40" s="27">
        <v>29</v>
      </c>
      <c r="B40" s="45">
        <v>32400000</v>
      </c>
      <c r="C40" s="45" t="s">
        <v>43</v>
      </c>
      <c r="D40" s="3">
        <f>3250+4000</f>
        <v>7250</v>
      </c>
      <c r="E40" s="27" t="s">
        <v>10</v>
      </c>
      <c r="F40" s="29" t="s">
        <v>12</v>
      </c>
      <c r="G40" s="29" t="s">
        <v>24</v>
      </c>
      <c r="H40" s="30"/>
      <c r="I40" s="38"/>
      <c r="J40" s="34"/>
    </row>
    <row r="41" spans="1:10" s="20" customFormat="1" ht="31.5" customHeight="1" x14ac:dyDescent="0.2">
      <c r="A41" s="27">
        <v>30</v>
      </c>
      <c r="B41" s="27">
        <v>32500000</v>
      </c>
      <c r="C41" s="27" t="s">
        <v>77</v>
      </c>
      <c r="D41" s="3">
        <f>1000-398</f>
        <v>602</v>
      </c>
      <c r="E41" s="27" t="s">
        <v>10</v>
      </c>
      <c r="F41" s="29" t="s">
        <v>12</v>
      </c>
      <c r="G41" s="29" t="s">
        <v>24</v>
      </c>
      <c r="H41" s="30"/>
      <c r="I41" s="38"/>
      <c r="J41" s="34"/>
    </row>
    <row r="42" spans="1:10" s="20" customFormat="1" ht="33.75" customHeight="1" x14ac:dyDescent="0.2">
      <c r="A42" s="27">
        <v>31</v>
      </c>
      <c r="B42" s="45">
        <v>34100000</v>
      </c>
      <c r="C42" s="45" t="s">
        <v>121</v>
      </c>
      <c r="D42" s="8">
        <v>363300</v>
      </c>
      <c r="E42" s="27" t="s">
        <v>25</v>
      </c>
      <c r="F42" s="29" t="s">
        <v>166</v>
      </c>
      <c r="G42" s="29" t="s">
        <v>166</v>
      </c>
      <c r="H42" s="30"/>
      <c r="I42" s="34"/>
    </row>
    <row r="43" spans="1:10" s="20" customFormat="1" ht="38.25" customHeight="1" x14ac:dyDescent="0.2">
      <c r="A43" s="27">
        <v>32</v>
      </c>
      <c r="B43" s="27">
        <v>34300000</v>
      </c>
      <c r="C43" s="27" t="s">
        <v>36</v>
      </c>
      <c r="D43" s="3">
        <f>46000+76708</f>
        <v>122708</v>
      </c>
      <c r="E43" s="27" t="s">
        <v>14</v>
      </c>
      <c r="F43" s="29" t="s">
        <v>12</v>
      </c>
      <c r="G43" s="29" t="s">
        <v>24</v>
      </c>
      <c r="H43" s="30" t="s">
        <v>13</v>
      </c>
      <c r="I43" s="38"/>
      <c r="J43" s="34"/>
    </row>
    <row r="44" spans="1:10" s="20" customFormat="1" ht="28.5" customHeight="1" x14ac:dyDescent="0.2">
      <c r="A44" s="27">
        <v>33</v>
      </c>
      <c r="B44" s="95">
        <v>35100000</v>
      </c>
      <c r="C44" s="95" t="s">
        <v>68</v>
      </c>
      <c r="D44" s="8">
        <f>120000-65100</f>
        <v>54900</v>
      </c>
      <c r="E44" s="27" t="s">
        <v>25</v>
      </c>
      <c r="F44" s="29" t="s">
        <v>12</v>
      </c>
      <c r="G44" s="29" t="s">
        <v>24</v>
      </c>
      <c r="H44" s="27"/>
      <c r="I44" s="33"/>
    </row>
    <row r="45" spans="1:10" s="20" customFormat="1" ht="30" customHeight="1" x14ac:dyDescent="0.2">
      <c r="A45" s="27">
        <v>34</v>
      </c>
      <c r="B45" s="96"/>
      <c r="C45" s="96"/>
      <c r="D45" s="3">
        <f>88252-1300</f>
        <v>86952</v>
      </c>
      <c r="E45" s="27" t="s">
        <v>25</v>
      </c>
      <c r="F45" s="29" t="s">
        <v>97</v>
      </c>
      <c r="G45" s="29" t="s">
        <v>98</v>
      </c>
      <c r="H45" s="27"/>
      <c r="I45" s="33"/>
    </row>
    <row r="46" spans="1:10" s="20" customFormat="1" ht="27" customHeight="1" x14ac:dyDescent="0.2">
      <c r="A46" s="27">
        <v>35</v>
      </c>
      <c r="B46" s="27">
        <v>37400000</v>
      </c>
      <c r="C46" s="27" t="s">
        <v>100</v>
      </c>
      <c r="D46" s="3">
        <f>123+3150</f>
        <v>3273</v>
      </c>
      <c r="E46" s="27" t="s">
        <v>10</v>
      </c>
      <c r="F46" s="29" t="s">
        <v>97</v>
      </c>
      <c r="G46" s="29" t="s">
        <v>98</v>
      </c>
      <c r="H46" s="30"/>
      <c r="I46" s="38"/>
      <c r="J46" s="34"/>
    </row>
    <row r="47" spans="1:10" s="20" customFormat="1" ht="28.5" customHeight="1" x14ac:dyDescent="0.2">
      <c r="A47" s="27">
        <v>36</v>
      </c>
      <c r="B47" s="27">
        <v>38100000</v>
      </c>
      <c r="C47" s="27" t="s">
        <v>102</v>
      </c>
      <c r="D47" s="3">
        <f>9120-8600</f>
        <v>520</v>
      </c>
      <c r="E47" s="27" t="s">
        <v>10</v>
      </c>
      <c r="F47" s="29" t="s">
        <v>97</v>
      </c>
      <c r="G47" s="29" t="s">
        <v>98</v>
      </c>
      <c r="H47" s="30"/>
      <c r="I47" s="34"/>
    </row>
    <row r="48" spans="1:10" s="20" customFormat="1" ht="33.75" customHeight="1" x14ac:dyDescent="0.2">
      <c r="A48" s="27">
        <v>37</v>
      </c>
      <c r="B48" s="27">
        <v>38600000</v>
      </c>
      <c r="C48" s="27" t="s">
        <v>94</v>
      </c>
      <c r="D48" s="8">
        <f>156152-39615</f>
        <v>116537</v>
      </c>
      <c r="E48" s="27" t="s">
        <v>25</v>
      </c>
      <c r="F48" s="29" t="s">
        <v>12</v>
      </c>
      <c r="G48" s="29" t="s">
        <v>24</v>
      </c>
      <c r="H48" s="39"/>
    </row>
    <row r="49" spans="1:12" s="20" customFormat="1" ht="28.5" customHeight="1" x14ac:dyDescent="0.2">
      <c r="A49" s="27">
        <v>38</v>
      </c>
      <c r="B49" s="95">
        <v>39100000</v>
      </c>
      <c r="C49" s="95" t="s">
        <v>11</v>
      </c>
      <c r="D49" s="3">
        <f>35710+5600</f>
        <v>41310</v>
      </c>
      <c r="E49" s="27" t="s">
        <v>14</v>
      </c>
      <c r="F49" s="29" t="s">
        <v>12</v>
      </c>
      <c r="G49" s="29" t="s">
        <v>24</v>
      </c>
      <c r="H49" s="30" t="s">
        <v>13</v>
      </c>
      <c r="I49" s="38"/>
      <c r="J49" s="40"/>
      <c r="L49" s="23"/>
    </row>
    <row r="50" spans="1:12" s="20" customFormat="1" ht="26.25" customHeight="1" x14ac:dyDescent="0.2">
      <c r="A50" s="27">
        <v>39</v>
      </c>
      <c r="B50" s="100"/>
      <c r="C50" s="100"/>
      <c r="D50" s="3">
        <f>1180+900</f>
        <v>2080</v>
      </c>
      <c r="E50" s="27" t="s">
        <v>10</v>
      </c>
      <c r="F50" s="29" t="s">
        <v>12</v>
      </c>
      <c r="G50" s="29" t="s">
        <v>24</v>
      </c>
      <c r="H50" s="30"/>
      <c r="I50" s="38"/>
      <c r="J50" s="40"/>
      <c r="L50" s="23"/>
    </row>
    <row r="51" spans="1:12" s="20" customFormat="1" ht="24.75" customHeight="1" x14ac:dyDescent="0.2">
      <c r="A51" s="27">
        <v>40</v>
      </c>
      <c r="B51" s="96"/>
      <c r="C51" s="96"/>
      <c r="D51" s="8">
        <f>3000+2000</f>
        <v>5000</v>
      </c>
      <c r="E51" s="27" t="s">
        <v>10</v>
      </c>
      <c r="F51" s="29" t="s">
        <v>12</v>
      </c>
      <c r="G51" s="29" t="s">
        <v>24</v>
      </c>
      <c r="H51" s="30"/>
      <c r="I51" s="38"/>
      <c r="J51" s="40"/>
      <c r="L51" s="23"/>
    </row>
    <row r="52" spans="1:12" s="20" customFormat="1" ht="28.5" customHeight="1" x14ac:dyDescent="0.2">
      <c r="A52" s="27">
        <v>41</v>
      </c>
      <c r="B52" s="99">
        <v>39200000</v>
      </c>
      <c r="C52" s="99" t="s">
        <v>51</v>
      </c>
      <c r="D52" s="3">
        <f>2945+3109</f>
        <v>6054</v>
      </c>
      <c r="E52" s="27" t="s">
        <v>10</v>
      </c>
      <c r="F52" s="29" t="s">
        <v>12</v>
      </c>
      <c r="G52" s="29" t="s">
        <v>24</v>
      </c>
      <c r="H52" s="27"/>
      <c r="I52" s="38"/>
      <c r="J52" s="34"/>
    </row>
    <row r="53" spans="1:12" s="20" customFormat="1" ht="25.5" customHeight="1" x14ac:dyDescent="0.2">
      <c r="A53" s="27">
        <v>42</v>
      </c>
      <c r="B53" s="99"/>
      <c r="C53" s="99"/>
      <c r="D53" s="3">
        <v>3000</v>
      </c>
      <c r="E53" s="27" t="s">
        <v>10</v>
      </c>
      <c r="F53" s="29" t="s">
        <v>12</v>
      </c>
      <c r="G53" s="29" t="s">
        <v>24</v>
      </c>
      <c r="H53" s="30" t="s">
        <v>59</v>
      </c>
      <c r="I53" s="38"/>
      <c r="J53" s="34"/>
    </row>
    <row r="54" spans="1:12" s="20" customFormat="1" ht="35.25" customHeight="1" x14ac:dyDescent="0.2">
      <c r="A54" s="27">
        <v>43</v>
      </c>
      <c r="B54" s="27">
        <v>42100000</v>
      </c>
      <c r="C54" s="27" t="s">
        <v>92</v>
      </c>
      <c r="D54" s="8">
        <f>4980+1040</f>
        <v>6020</v>
      </c>
      <c r="E54" s="27" t="s">
        <v>10</v>
      </c>
      <c r="F54" s="29" t="s">
        <v>12</v>
      </c>
      <c r="G54" s="29" t="s">
        <v>24</v>
      </c>
      <c r="H54" s="30"/>
    </row>
    <row r="55" spans="1:12" s="20" customFormat="1" ht="33.75" customHeight="1" x14ac:dyDescent="0.2">
      <c r="A55" s="27">
        <v>44</v>
      </c>
      <c r="B55" s="27">
        <v>42500000</v>
      </c>
      <c r="C55" s="27" t="s">
        <v>104</v>
      </c>
      <c r="D55" s="8">
        <f>30000-8320</f>
        <v>21680</v>
      </c>
      <c r="E55" s="27" t="s">
        <v>25</v>
      </c>
      <c r="F55" s="29" t="s">
        <v>97</v>
      </c>
      <c r="G55" s="29" t="s">
        <v>98</v>
      </c>
      <c r="H55" s="30"/>
      <c r="I55" s="34"/>
    </row>
    <row r="56" spans="1:12" s="20" customFormat="1" ht="31.5" customHeight="1" x14ac:dyDescent="0.2">
      <c r="A56" s="27">
        <v>45</v>
      </c>
      <c r="B56" s="95">
        <v>42900000</v>
      </c>
      <c r="C56" s="95" t="s">
        <v>50</v>
      </c>
      <c r="D56" s="3">
        <f>500+320</f>
        <v>820</v>
      </c>
      <c r="E56" s="27" t="s">
        <v>10</v>
      </c>
      <c r="F56" s="29" t="s">
        <v>12</v>
      </c>
      <c r="G56" s="29" t="s">
        <v>24</v>
      </c>
      <c r="H56" s="30"/>
      <c r="I56" s="34"/>
    </row>
    <row r="57" spans="1:12" s="20" customFormat="1" ht="35.25" customHeight="1" x14ac:dyDescent="0.2">
      <c r="A57" s="27">
        <v>46</v>
      </c>
      <c r="B57" s="96"/>
      <c r="C57" s="96"/>
      <c r="D57" s="8">
        <v>4700</v>
      </c>
      <c r="E57" s="27" t="s">
        <v>10</v>
      </c>
      <c r="F57" s="29" t="s">
        <v>12</v>
      </c>
      <c r="G57" s="29" t="s">
        <v>24</v>
      </c>
      <c r="H57" s="30"/>
      <c r="I57" s="34"/>
    </row>
    <row r="58" spans="1:12" s="20" customFormat="1" ht="33.75" customHeight="1" x14ac:dyDescent="0.2">
      <c r="A58" s="27">
        <v>47</v>
      </c>
      <c r="B58" s="27">
        <v>43800000</v>
      </c>
      <c r="C58" s="27" t="s">
        <v>86</v>
      </c>
      <c r="D58" s="8">
        <f>290000-155638</f>
        <v>134362</v>
      </c>
      <c r="E58" s="27" t="s">
        <v>25</v>
      </c>
      <c r="F58" s="29" t="s">
        <v>12</v>
      </c>
      <c r="G58" s="29" t="s">
        <v>24</v>
      </c>
      <c r="H58" s="30"/>
      <c r="I58" s="34"/>
    </row>
    <row r="59" spans="1:12" s="20" customFormat="1" ht="36.75" customHeight="1" x14ac:dyDescent="0.2">
      <c r="A59" s="27">
        <v>48</v>
      </c>
      <c r="B59" s="27">
        <v>44100000</v>
      </c>
      <c r="C59" s="27" t="s">
        <v>88</v>
      </c>
      <c r="D59" s="3">
        <f>330-330</f>
        <v>0</v>
      </c>
      <c r="E59" s="27" t="s">
        <v>10</v>
      </c>
      <c r="F59" s="29" t="s">
        <v>12</v>
      </c>
      <c r="G59" s="29" t="s">
        <v>24</v>
      </c>
      <c r="H59" s="30"/>
    </row>
    <row r="60" spans="1:12" s="20" customFormat="1" ht="31.5" customHeight="1" x14ac:dyDescent="0.2">
      <c r="A60" s="27">
        <v>49</v>
      </c>
      <c r="B60" s="27">
        <v>44200000</v>
      </c>
      <c r="C60" s="27" t="s">
        <v>91</v>
      </c>
      <c r="D60" s="8">
        <f>42460-6372</f>
        <v>36088</v>
      </c>
      <c r="E60" s="27" t="s">
        <v>25</v>
      </c>
      <c r="F60" s="29" t="s">
        <v>12</v>
      </c>
      <c r="G60" s="29" t="s">
        <v>24</v>
      </c>
      <c r="H60" s="30"/>
    </row>
    <row r="61" spans="1:12" s="20" customFormat="1" ht="28.5" customHeight="1" x14ac:dyDescent="0.2">
      <c r="A61" s="27">
        <v>50</v>
      </c>
      <c r="B61" s="95">
        <v>44400000</v>
      </c>
      <c r="C61" s="95" t="s">
        <v>42</v>
      </c>
      <c r="D61" s="3">
        <f>4900+2170</f>
        <v>7070</v>
      </c>
      <c r="E61" s="27" t="s">
        <v>10</v>
      </c>
      <c r="F61" s="29" t="s">
        <v>12</v>
      </c>
      <c r="G61" s="29" t="s">
        <v>24</v>
      </c>
      <c r="H61" s="30"/>
      <c r="I61" s="34"/>
      <c r="J61" s="34"/>
    </row>
    <row r="62" spans="1:12" s="20" customFormat="1" ht="32.25" customHeight="1" x14ac:dyDescent="0.2">
      <c r="A62" s="27">
        <v>51</v>
      </c>
      <c r="B62" s="96"/>
      <c r="C62" s="96"/>
      <c r="D62" s="8">
        <v>2600</v>
      </c>
      <c r="E62" s="27" t="s">
        <v>10</v>
      </c>
      <c r="F62" s="29" t="s">
        <v>12</v>
      </c>
      <c r="G62" s="29" t="s">
        <v>24</v>
      </c>
      <c r="H62" s="30"/>
      <c r="I62" s="34"/>
      <c r="J62" s="34"/>
    </row>
    <row r="63" spans="1:12" s="20" customFormat="1" ht="35.25" customHeight="1" x14ac:dyDescent="0.2">
      <c r="A63" s="27">
        <v>52</v>
      </c>
      <c r="B63" s="27">
        <v>44500000</v>
      </c>
      <c r="C63" s="27" t="s">
        <v>132</v>
      </c>
      <c r="D63" s="3">
        <f>76228-14287</f>
        <v>61941</v>
      </c>
      <c r="E63" s="27" t="s">
        <v>25</v>
      </c>
      <c r="F63" s="29" t="s">
        <v>163</v>
      </c>
      <c r="G63" s="29" t="s">
        <v>164</v>
      </c>
      <c r="H63" s="30"/>
      <c r="I63" s="38"/>
      <c r="J63" s="40"/>
    </row>
    <row r="64" spans="1:12" s="20" customFormat="1" ht="34.5" customHeight="1" x14ac:dyDescent="0.2">
      <c r="A64" s="27">
        <v>53</v>
      </c>
      <c r="B64" s="27">
        <v>44600000</v>
      </c>
      <c r="C64" s="27" t="s">
        <v>168</v>
      </c>
      <c r="D64" s="8">
        <v>9920</v>
      </c>
      <c r="E64" s="27" t="s">
        <v>10</v>
      </c>
      <c r="F64" s="29" t="s">
        <v>166</v>
      </c>
      <c r="G64" s="29" t="s">
        <v>166</v>
      </c>
      <c r="H64" s="30"/>
      <c r="I64" s="34"/>
      <c r="J64" s="40"/>
    </row>
    <row r="65" spans="1:10" s="20" customFormat="1" ht="35.25" customHeight="1" x14ac:dyDescent="0.2">
      <c r="A65" s="27">
        <v>54</v>
      </c>
      <c r="B65" s="27">
        <v>44800000</v>
      </c>
      <c r="C65" s="27" t="s">
        <v>90</v>
      </c>
      <c r="D65" s="3">
        <f>9550-7120</f>
        <v>2430</v>
      </c>
      <c r="E65" s="27" t="s">
        <v>10</v>
      </c>
      <c r="F65" s="29" t="s">
        <v>12</v>
      </c>
      <c r="G65" s="29" t="s">
        <v>24</v>
      </c>
      <c r="H65" s="30"/>
      <c r="I65" s="38"/>
      <c r="J65" s="40"/>
    </row>
    <row r="66" spans="1:10" s="20" customFormat="1" ht="41.25" customHeight="1" x14ac:dyDescent="0.2">
      <c r="A66" s="27">
        <v>55</v>
      </c>
      <c r="B66" s="27">
        <v>45200000</v>
      </c>
      <c r="C66" s="27" t="s">
        <v>64</v>
      </c>
      <c r="D66" s="8">
        <f>6132050-703980</f>
        <v>5428070</v>
      </c>
      <c r="E66" s="27" t="s">
        <v>25</v>
      </c>
      <c r="F66" s="29" t="s">
        <v>12</v>
      </c>
      <c r="G66" s="29" t="s">
        <v>24</v>
      </c>
      <c r="H66" s="30"/>
      <c r="I66" s="36"/>
      <c r="J66" s="34"/>
    </row>
    <row r="67" spans="1:10" s="20" customFormat="1" ht="33.75" customHeight="1" x14ac:dyDescent="0.2">
      <c r="A67" s="27">
        <v>56</v>
      </c>
      <c r="B67" s="95">
        <v>45300000</v>
      </c>
      <c r="C67" s="95" t="s">
        <v>72</v>
      </c>
      <c r="D67" s="8">
        <f>33550-6000</f>
        <v>27550</v>
      </c>
      <c r="E67" s="27" t="s">
        <v>25</v>
      </c>
      <c r="F67" s="29" t="s">
        <v>12</v>
      </c>
      <c r="G67" s="29" t="s">
        <v>24</v>
      </c>
      <c r="H67" s="30"/>
      <c r="I67" s="34"/>
      <c r="J67" s="34"/>
    </row>
    <row r="68" spans="1:10" s="20" customFormat="1" ht="33.75" customHeight="1" x14ac:dyDescent="0.2">
      <c r="A68" s="27">
        <v>57</v>
      </c>
      <c r="B68" s="96"/>
      <c r="C68" s="96"/>
      <c r="D68" s="3">
        <f>42427-3607</f>
        <v>38820</v>
      </c>
      <c r="E68" s="27" t="s">
        <v>25</v>
      </c>
      <c r="F68" s="29" t="s">
        <v>166</v>
      </c>
      <c r="G68" s="29" t="s">
        <v>166</v>
      </c>
      <c r="H68" s="30"/>
      <c r="I68" s="34"/>
      <c r="J68" s="34"/>
    </row>
    <row r="69" spans="1:10" s="35" customFormat="1" ht="31.5" customHeight="1" x14ac:dyDescent="0.2">
      <c r="A69" s="27">
        <v>58</v>
      </c>
      <c r="B69" s="27">
        <v>45400000</v>
      </c>
      <c r="C69" s="27" t="s">
        <v>71</v>
      </c>
      <c r="D69" s="8">
        <f>763021-21130</f>
        <v>741891</v>
      </c>
      <c r="E69" s="27" t="s">
        <v>25</v>
      </c>
      <c r="F69" s="29" t="s">
        <v>12</v>
      </c>
      <c r="G69" s="29" t="s">
        <v>24</v>
      </c>
      <c r="H69" s="27"/>
      <c r="I69" s="34"/>
    </row>
    <row r="70" spans="1:10" s="20" customFormat="1" ht="34.5" customHeight="1" x14ac:dyDescent="0.2">
      <c r="A70" s="27">
        <v>59</v>
      </c>
      <c r="B70" s="27">
        <v>48200000</v>
      </c>
      <c r="C70" s="27" t="s">
        <v>63</v>
      </c>
      <c r="D70" s="3">
        <v>2000</v>
      </c>
      <c r="E70" s="27" t="s">
        <v>10</v>
      </c>
      <c r="F70" s="29" t="s">
        <v>12</v>
      </c>
      <c r="G70" s="29" t="s">
        <v>24</v>
      </c>
      <c r="H70" s="30"/>
      <c r="I70" s="34"/>
      <c r="J70" s="40"/>
    </row>
    <row r="71" spans="1:10" s="20" customFormat="1" ht="32.25" customHeight="1" x14ac:dyDescent="0.2">
      <c r="A71" s="27">
        <v>60</v>
      </c>
      <c r="B71" s="95">
        <v>48600000</v>
      </c>
      <c r="C71" s="95" t="s">
        <v>56</v>
      </c>
      <c r="D71" s="3">
        <f>5000-500</f>
        <v>4500</v>
      </c>
      <c r="E71" s="27" t="s">
        <v>10</v>
      </c>
      <c r="F71" s="29" t="s">
        <v>12</v>
      </c>
      <c r="G71" s="29" t="s">
        <v>24</v>
      </c>
      <c r="H71" s="30" t="s">
        <v>17</v>
      </c>
      <c r="I71" s="34"/>
      <c r="J71" s="40"/>
    </row>
    <row r="72" spans="1:10" s="20" customFormat="1" ht="36.75" customHeight="1" x14ac:dyDescent="0.2">
      <c r="A72" s="27">
        <v>61</v>
      </c>
      <c r="B72" s="96"/>
      <c r="C72" s="96"/>
      <c r="D72" s="3">
        <f>900+3000</f>
        <v>3900</v>
      </c>
      <c r="E72" s="27" t="s">
        <v>10</v>
      </c>
      <c r="F72" s="29" t="s">
        <v>12</v>
      </c>
      <c r="G72" s="29" t="s">
        <v>24</v>
      </c>
      <c r="H72" s="30"/>
      <c r="I72" s="34"/>
      <c r="J72" s="40"/>
    </row>
    <row r="73" spans="1:10" s="20" customFormat="1" ht="29.25" customHeight="1" x14ac:dyDescent="0.2">
      <c r="A73" s="27">
        <v>62</v>
      </c>
      <c r="B73" s="99">
        <v>50100000</v>
      </c>
      <c r="C73" s="99" t="s">
        <v>23</v>
      </c>
      <c r="D73" s="3">
        <f>636691+18000</f>
        <v>654691</v>
      </c>
      <c r="E73" s="27" t="s">
        <v>25</v>
      </c>
      <c r="F73" s="29" t="s">
        <v>12</v>
      </c>
      <c r="G73" s="29" t="s">
        <v>24</v>
      </c>
      <c r="H73" s="68"/>
      <c r="I73" s="38"/>
      <c r="J73" s="38"/>
    </row>
    <row r="74" spans="1:10" s="20" customFormat="1" ht="30.75" customHeight="1" x14ac:dyDescent="0.2">
      <c r="A74" s="27">
        <v>63</v>
      </c>
      <c r="B74" s="99"/>
      <c r="C74" s="99"/>
      <c r="D74" s="3">
        <f>348786-32000</f>
        <v>316786</v>
      </c>
      <c r="E74" s="27" t="s">
        <v>10</v>
      </c>
      <c r="F74" s="29" t="s">
        <v>12</v>
      </c>
      <c r="G74" s="29" t="s">
        <v>24</v>
      </c>
      <c r="H74" s="30" t="s">
        <v>89</v>
      </c>
      <c r="I74" s="38"/>
      <c r="J74" s="38"/>
    </row>
    <row r="75" spans="1:10" s="20" customFormat="1" ht="28.5" customHeight="1" x14ac:dyDescent="0.2">
      <c r="A75" s="27">
        <v>64</v>
      </c>
      <c r="B75" s="99"/>
      <c r="C75" s="99"/>
      <c r="D75" s="3">
        <f>152763-25280</f>
        <v>127483</v>
      </c>
      <c r="E75" s="27" t="s">
        <v>14</v>
      </c>
      <c r="F75" s="29" t="s">
        <v>12</v>
      </c>
      <c r="G75" s="29" t="s">
        <v>24</v>
      </c>
      <c r="H75" s="30" t="s">
        <v>13</v>
      </c>
      <c r="I75" s="25"/>
    </row>
    <row r="76" spans="1:10" s="20" customFormat="1" ht="27" customHeight="1" x14ac:dyDescent="0.2">
      <c r="A76" s="27">
        <v>65</v>
      </c>
      <c r="B76" s="99"/>
      <c r="C76" s="99"/>
      <c r="D76" s="11">
        <f>40000-554.6</f>
        <v>39445.4</v>
      </c>
      <c r="E76" s="27" t="s">
        <v>25</v>
      </c>
      <c r="F76" s="29" t="s">
        <v>12</v>
      </c>
      <c r="G76" s="29" t="s">
        <v>24</v>
      </c>
      <c r="H76" s="30" t="s">
        <v>85</v>
      </c>
      <c r="I76" s="38"/>
      <c r="J76" s="38"/>
    </row>
    <row r="77" spans="1:10" s="20" customFormat="1" ht="35.25" customHeight="1" x14ac:dyDescent="0.2">
      <c r="A77" s="27">
        <v>66</v>
      </c>
      <c r="B77" s="99"/>
      <c r="C77" s="99"/>
      <c r="D77" s="8">
        <f>1450-330</f>
        <v>1120</v>
      </c>
      <c r="E77" s="27" t="s">
        <v>25</v>
      </c>
      <c r="F77" s="29" t="s">
        <v>12</v>
      </c>
      <c r="G77" s="29" t="s">
        <v>24</v>
      </c>
      <c r="H77" s="30"/>
      <c r="I77" s="38"/>
      <c r="J77" s="38"/>
    </row>
    <row r="78" spans="1:10" s="20" customFormat="1" ht="56.25" customHeight="1" x14ac:dyDescent="0.2">
      <c r="A78" s="27">
        <v>67</v>
      </c>
      <c r="B78" s="27">
        <v>50300000</v>
      </c>
      <c r="C78" s="27" t="s">
        <v>41</v>
      </c>
      <c r="D78" s="3">
        <f>7000-2570</f>
        <v>4430</v>
      </c>
      <c r="E78" s="27" t="s">
        <v>25</v>
      </c>
      <c r="F78" s="29" t="s">
        <v>12</v>
      </c>
      <c r="G78" s="29" t="s">
        <v>24</v>
      </c>
      <c r="H78" s="30"/>
      <c r="I78" s="34"/>
      <c r="J78" s="40"/>
    </row>
    <row r="79" spans="1:10" s="20" customFormat="1" ht="42.75" customHeight="1" x14ac:dyDescent="0.2">
      <c r="A79" s="27">
        <v>68</v>
      </c>
      <c r="B79" s="27">
        <v>50500000</v>
      </c>
      <c r="C79" s="27" t="s">
        <v>93</v>
      </c>
      <c r="D79" s="3">
        <f>1806+1030</f>
        <v>2836</v>
      </c>
      <c r="E79" s="27" t="s">
        <v>10</v>
      </c>
      <c r="F79" s="29" t="s">
        <v>12</v>
      </c>
      <c r="G79" s="29" t="s">
        <v>24</v>
      </c>
      <c r="H79" s="30"/>
      <c r="I79" s="40"/>
    </row>
    <row r="80" spans="1:10" s="20" customFormat="1" ht="32.25" customHeight="1" x14ac:dyDescent="0.2">
      <c r="A80" s="27">
        <v>69</v>
      </c>
      <c r="B80" s="27">
        <v>50700000</v>
      </c>
      <c r="C80" s="27" t="s">
        <v>44</v>
      </c>
      <c r="D80" s="3">
        <f>18500-1200</f>
        <v>17300</v>
      </c>
      <c r="E80" s="27" t="s">
        <v>25</v>
      </c>
      <c r="F80" s="29" t="s">
        <v>12</v>
      </c>
      <c r="G80" s="29" t="s">
        <v>24</v>
      </c>
      <c r="H80" s="30"/>
      <c r="I80" s="34"/>
      <c r="J80" s="40"/>
    </row>
    <row r="81" spans="1:10" s="19" customFormat="1" ht="26.25" customHeight="1" x14ac:dyDescent="0.2">
      <c r="A81" s="27">
        <v>70</v>
      </c>
      <c r="B81" s="99">
        <v>55300000</v>
      </c>
      <c r="C81" s="99" t="s">
        <v>75</v>
      </c>
      <c r="D81" s="3">
        <f>11000-4000</f>
        <v>7000</v>
      </c>
      <c r="E81" s="27" t="s">
        <v>10</v>
      </c>
      <c r="F81" s="29" t="s">
        <v>12</v>
      </c>
      <c r="G81" s="29" t="s">
        <v>24</v>
      </c>
      <c r="H81" s="30" t="s">
        <v>59</v>
      </c>
    </row>
    <row r="82" spans="1:10" s="19" customFormat="1" ht="27" customHeight="1" x14ac:dyDescent="0.2">
      <c r="A82" s="27">
        <v>71</v>
      </c>
      <c r="B82" s="99"/>
      <c r="C82" s="99"/>
      <c r="D82" s="3">
        <v>9000</v>
      </c>
      <c r="E82" s="27" t="s">
        <v>10</v>
      </c>
      <c r="F82" s="29" t="s">
        <v>12</v>
      </c>
      <c r="G82" s="29" t="s">
        <v>24</v>
      </c>
      <c r="H82" s="30"/>
    </row>
    <row r="83" spans="1:10" s="20" customFormat="1" ht="30.75" customHeight="1" x14ac:dyDescent="0.2">
      <c r="A83" s="27">
        <v>72</v>
      </c>
      <c r="B83" s="27">
        <v>60100000</v>
      </c>
      <c r="C83" s="27" t="s">
        <v>155</v>
      </c>
      <c r="D83" s="3">
        <v>9500</v>
      </c>
      <c r="E83" s="27" t="s">
        <v>10</v>
      </c>
      <c r="F83" s="29" t="s">
        <v>166</v>
      </c>
      <c r="G83" s="29" t="s">
        <v>166</v>
      </c>
      <c r="H83" s="30"/>
      <c r="I83" s="40"/>
    </row>
    <row r="84" spans="1:10" s="20" customFormat="1" ht="28.5" customHeight="1" x14ac:dyDescent="0.2">
      <c r="A84" s="27">
        <v>73</v>
      </c>
      <c r="B84" s="27">
        <v>63100000</v>
      </c>
      <c r="C84" s="27" t="s">
        <v>45</v>
      </c>
      <c r="D84" s="3">
        <f>13850-5000</f>
        <v>8850</v>
      </c>
      <c r="E84" s="27" t="s">
        <v>25</v>
      </c>
      <c r="F84" s="29" t="s">
        <v>12</v>
      </c>
      <c r="G84" s="29" t="s">
        <v>24</v>
      </c>
      <c r="H84" s="30"/>
      <c r="I84" s="38"/>
      <c r="J84" s="40"/>
    </row>
    <row r="85" spans="1:10" s="19" customFormat="1" ht="26.25" customHeight="1" x14ac:dyDescent="0.2">
      <c r="A85" s="27">
        <v>74</v>
      </c>
      <c r="B85" s="95">
        <v>63700000</v>
      </c>
      <c r="C85" s="95" t="s">
        <v>19</v>
      </c>
      <c r="D85" s="3">
        <f>69571-1590</f>
        <v>67981</v>
      </c>
      <c r="E85" s="27" t="s">
        <v>25</v>
      </c>
      <c r="F85" s="29" t="s">
        <v>12</v>
      </c>
      <c r="G85" s="29" t="s">
        <v>24</v>
      </c>
      <c r="H85" s="68"/>
      <c r="I85" s="34"/>
    </row>
    <row r="86" spans="1:10" s="19" customFormat="1" ht="25.5" customHeight="1" x14ac:dyDescent="0.2">
      <c r="A86" s="27">
        <v>75</v>
      </c>
      <c r="B86" s="96"/>
      <c r="C86" s="96"/>
      <c r="D86" s="8">
        <v>3311</v>
      </c>
      <c r="E86" s="27" t="s">
        <v>25</v>
      </c>
      <c r="F86" s="29" t="s">
        <v>166</v>
      </c>
      <c r="G86" s="29" t="s">
        <v>166</v>
      </c>
      <c r="H86" s="68"/>
      <c r="I86" s="34"/>
    </row>
    <row r="87" spans="1:10" s="19" customFormat="1" ht="27.75" customHeight="1" x14ac:dyDescent="0.2">
      <c r="A87" s="27">
        <v>76</v>
      </c>
      <c r="B87" s="27">
        <v>64100000</v>
      </c>
      <c r="C87" s="27" t="s">
        <v>70</v>
      </c>
      <c r="D87" s="3">
        <f>27000-13100</f>
        <v>13900</v>
      </c>
      <c r="E87" s="27" t="s">
        <v>25</v>
      </c>
      <c r="F87" s="29" t="s">
        <v>12</v>
      </c>
      <c r="G87" s="29" t="s">
        <v>24</v>
      </c>
      <c r="H87" s="30"/>
      <c r="I87" s="38"/>
    </row>
    <row r="88" spans="1:10" s="20" customFormat="1" ht="30" customHeight="1" x14ac:dyDescent="0.2">
      <c r="A88" s="27">
        <v>77</v>
      </c>
      <c r="B88" s="99">
        <v>64200000</v>
      </c>
      <c r="C88" s="99" t="s">
        <v>39</v>
      </c>
      <c r="D88" s="3">
        <f>41887-3555</f>
        <v>38332</v>
      </c>
      <c r="E88" s="27" t="s">
        <v>14</v>
      </c>
      <c r="F88" s="29" t="s">
        <v>12</v>
      </c>
      <c r="G88" s="29" t="s">
        <v>24</v>
      </c>
      <c r="H88" s="30" t="s">
        <v>13</v>
      </c>
      <c r="I88" s="34"/>
      <c r="J88" s="34"/>
    </row>
    <row r="89" spans="1:10" s="20" customFormat="1" ht="29.25" customHeight="1" x14ac:dyDescent="0.2">
      <c r="A89" s="27">
        <v>78</v>
      </c>
      <c r="B89" s="99"/>
      <c r="C89" s="99"/>
      <c r="D89" s="3">
        <v>1000</v>
      </c>
      <c r="E89" s="27" t="s">
        <v>10</v>
      </c>
      <c r="F89" s="29" t="s">
        <v>12</v>
      </c>
      <c r="G89" s="29" t="s">
        <v>24</v>
      </c>
      <c r="H89" s="30" t="s">
        <v>18</v>
      </c>
      <c r="I89" s="34"/>
      <c r="J89" s="34"/>
    </row>
    <row r="90" spans="1:10" s="20" customFormat="1" ht="27" customHeight="1" x14ac:dyDescent="0.2">
      <c r="A90" s="27">
        <v>79</v>
      </c>
      <c r="B90" s="99"/>
      <c r="C90" s="99"/>
      <c r="D90" s="3">
        <f>2000-700</f>
        <v>1300</v>
      </c>
      <c r="E90" s="27" t="s">
        <v>10</v>
      </c>
      <c r="F90" s="29" t="s">
        <v>12</v>
      </c>
      <c r="G90" s="29" t="s">
        <v>24</v>
      </c>
      <c r="H90" s="30"/>
      <c r="I90" s="34"/>
      <c r="J90" s="34"/>
    </row>
    <row r="91" spans="1:10" s="20" customFormat="1" ht="24.75" customHeight="1" x14ac:dyDescent="0.2">
      <c r="A91" s="27">
        <v>80</v>
      </c>
      <c r="B91" s="99"/>
      <c r="C91" s="99"/>
      <c r="D91" s="3">
        <f>10000+875</f>
        <v>10875</v>
      </c>
      <c r="E91" s="27" t="s">
        <v>10</v>
      </c>
      <c r="F91" s="29" t="s">
        <v>12</v>
      </c>
      <c r="G91" s="29" t="s">
        <v>24</v>
      </c>
      <c r="H91" s="30" t="s">
        <v>62</v>
      </c>
      <c r="I91" s="34"/>
    </row>
    <row r="92" spans="1:10" s="20" customFormat="1" ht="24.75" customHeight="1" x14ac:dyDescent="0.2">
      <c r="A92" s="27">
        <v>81</v>
      </c>
      <c r="B92" s="99">
        <v>66500000</v>
      </c>
      <c r="C92" s="99" t="s">
        <v>33</v>
      </c>
      <c r="D92" s="48">
        <f>75000-41000</f>
        <v>34000</v>
      </c>
      <c r="E92" s="27" t="s">
        <v>14</v>
      </c>
      <c r="F92" s="29" t="s">
        <v>12</v>
      </c>
      <c r="G92" s="29" t="s">
        <v>24</v>
      </c>
      <c r="H92" s="30" t="s">
        <v>13</v>
      </c>
      <c r="I92" s="38"/>
      <c r="J92" s="40"/>
    </row>
    <row r="93" spans="1:10" s="20" customFormat="1" ht="24.75" customHeight="1" x14ac:dyDescent="0.2">
      <c r="A93" s="27">
        <v>82</v>
      </c>
      <c r="B93" s="99"/>
      <c r="C93" s="99"/>
      <c r="D93" s="48">
        <f>125000+41000</f>
        <v>166000</v>
      </c>
      <c r="E93" s="27" t="s">
        <v>25</v>
      </c>
      <c r="F93" s="29" t="s">
        <v>12</v>
      </c>
      <c r="G93" s="29" t="s">
        <v>24</v>
      </c>
      <c r="H93" s="30" t="s">
        <v>67</v>
      </c>
      <c r="I93" s="38"/>
      <c r="J93" s="40"/>
    </row>
    <row r="94" spans="1:10" s="20" customFormat="1" ht="24.75" customHeight="1" x14ac:dyDescent="0.2">
      <c r="A94" s="27">
        <v>83</v>
      </c>
      <c r="B94" s="27">
        <v>71200000</v>
      </c>
      <c r="C94" s="27" t="s">
        <v>96</v>
      </c>
      <c r="D94" s="8">
        <f>7750+1250</f>
        <v>9000</v>
      </c>
      <c r="E94" s="27" t="s">
        <v>10</v>
      </c>
      <c r="F94" s="29" t="s">
        <v>12</v>
      </c>
      <c r="G94" s="29" t="s">
        <v>24</v>
      </c>
      <c r="H94" s="44"/>
    </row>
    <row r="95" spans="1:10" s="20" customFormat="1" ht="33.75" customHeight="1" x14ac:dyDescent="0.2">
      <c r="A95" s="27">
        <v>84</v>
      </c>
      <c r="B95" s="27">
        <v>71300000</v>
      </c>
      <c r="C95" s="27" t="s">
        <v>103</v>
      </c>
      <c r="D95" s="3">
        <f>245000-47500</f>
        <v>197500</v>
      </c>
      <c r="E95" s="27" t="s">
        <v>25</v>
      </c>
      <c r="F95" s="29" t="s">
        <v>163</v>
      </c>
      <c r="G95" s="29" t="s">
        <v>164</v>
      </c>
      <c r="H95" s="44"/>
    </row>
    <row r="96" spans="1:10" s="20" customFormat="1" ht="36.75" customHeight="1" x14ac:dyDescent="0.2">
      <c r="A96" s="27">
        <v>85</v>
      </c>
      <c r="B96" s="95">
        <v>72200000</v>
      </c>
      <c r="C96" s="95" t="s">
        <v>55</v>
      </c>
      <c r="D96" s="3">
        <f>374541-10000</f>
        <v>364541</v>
      </c>
      <c r="E96" s="27" t="s">
        <v>10</v>
      </c>
      <c r="F96" s="29" t="s">
        <v>12</v>
      </c>
      <c r="G96" s="29" t="s">
        <v>24</v>
      </c>
      <c r="H96" s="30" t="s">
        <v>17</v>
      </c>
      <c r="I96" s="34"/>
      <c r="J96" s="34"/>
    </row>
    <row r="97" spans="1:12" s="20" customFormat="1" ht="26.25" customHeight="1" x14ac:dyDescent="0.2">
      <c r="A97" s="27">
        <v>86</v>
      </c>
      <c r="B97" s="100"/>
      <c r="C97" s="100"/>
      <c r="D97" s="3">
        <f>8000-3000</f>
        <v>5000</v>
      </c>
      <c r="E97" s="27" t="s">
        <v>10</v>
      </c>
      <c r="F97" s="29" t="s">
        <v>12</v>
      </c>
      <c r="G97" s="29" t="s">
        <v>24</v>
      </c>
      <c r="H97" s="30" t="s">
        <v>16</v>
      </c>
      <c r="I97" s="34"/>
      <c r="J97" s="34"/>
    </row>
    <row r="98" spans="1:12" s="20" customFormat="1" ht="31.5" customHeight="1" x14ac:dyDescent="0.2">
      <c r="A98" s="27">
        <v>87</v>
      </c>
      <c r="B98" s="27">
        <v>72400000</v>
      </c>
      <c r="C98" s="27" t="s">
        <v>30</v>
      </c>
      <c r="D98" s="3">
        <f>306470+300</f>
        <v>306770</v>
      </c>
      <c r="E98" s="27" t="s">
        <v>32</v>
      </c>
      <c r="F98" s="29" t="s">
        <v>12</v>
      </c>
      <c r="G98" s="29" t="s">
        <v>24</v>
      </c>
      <c r="H98" s="30" t="s">
        <v>16</v>
      </c>
      <c r="I98" s="34"/>
      <c r="J98" s="34"/>
    </row>
    <row r="99" spans="1:12" s="20" customFormat="1" ht="26.25" customHeight="1" x14ac:dyDescent="0.2">
      <c r="A99" s="27">
        <v>88</v>
      </c>
      <c r="B99" s="27">
        <v>75100000</v>
      </c>
      <c r="C99" s="27" t="s">
        <v>46</v>
      </c>
      <c r="D99" s="3">
        <f>8975-3994</f>
        <v>4981</v>
      </c>
      <c r="E99" s="27" t="s">
        <v>10</v>
      </c>
      <c r="F99" s="29" t="s">
        <v>12</v>
      </c>
      <c r="G99" s="29" t="s">
        <v>24</v>
      </c>
      <c r="H99" s="30" t="s">
        <v>17</v>
      </c>
      <c r="I99" s="34"/>
      <c r="J99" s="40"/>
    </row>
    <row r="100" spans="1:12" s="20" customFormat="1" ht="27.75" customHeight="1" x14ac:dyDescent="0.2">
      <c r="A100" s="27">
        <v>89</v>
      </c>
      <c r="B100" s="27">
        <v>77100000</v>
      </c>
      <c r="C100" s="27" t="s">
        <v>81</v>
      </c>
      <c r="D100" s="3">
        <f>100-100</f>
        <v>0</v>
      </c>
      <c r="E100" s="27" t="s">
        <v>10</v>
      </c>
      <c r="F100" s="29" t="s">
        <v>12</v>
      </c>
      <c r="G100" s="29" t="s">
        <v>24</v>
      </c>
      <c r="H100" s="30"/>
      <c r="I100" s="38"/>
      <c r="J100" s="40"/>
    </row>
    <row r="101" spans="1:12" s="20" customFormat="1" ht="33" customHeight="1" x14ac:dyDescent="0.2">
      <c r="A101" s="27">
        <v>90</v>
      </c>
      <c r="B101" s="27">
        <v>77200000</v>
      </c>
      <c r="C101" s="27" t="s">
        <v>27</v>
      </c>
      <c r="D101" s="11">
        <f>783973-141912.93</f>
        <v>642060.07000000007</v>
      </c>
      <c r="E101" s="27" t="s">
        <v>25</v>
      </c>
      <c r="F101" s="29" t="s">
        <v>12</v>
      </c>
      <c r="G101" s="29" t="s">
        <v>24</v>
      </c>
      <c r="H101" s="30"/>
      <c r="I101" s="34"/>
      <c r="J101" s="40"/>
    </row>
    <row r="102" spans="1:12" s="20" customFormat="1" ht="33.75" customHeight="1" x14ac:dyDescent="0.2">
      <c r="A102" s="27">
        <v>91</v>
      </c>
      <c r="B102" s="27">
        <v>77300000</v>
      </c>
      <c r="C102" s="27" t="s">
        <v>138</v>
      </c>
      <c r="D102" s="3">
        <v>165654.35</v>
      </c>
      <c r="E102" s="27" t="s">
        <v>25</v>
      </c>
      <c r="F102" s="29" t="s">
        <v>166</v>
      </c>
      <c r="G102" s="29" t="s">
        <v>166</v>
      </c>
      <c r="H102" s="30"/>
      <c r="I102" s="40"/>
    </row>
    <row r="103" spans="1:12" s="20" customFormat="1" ht="31.5" customHeight="1" x14ac:dyDescent="0.2">
      <c r="A103" s="27">
        <v>92</v>
      </c>
      <c r="B103" s="95">
        <v>79700000</v>
      </c>
      <c r="C103" s="95" t="s">
        <v>28</v>
      </c>
      <c r="D103" s="3">
        <f>200000+18408</f>
        <v>218408</v>
      </c>
      <c r="E103" s="27" t="s">
        <v>10</v>
      </c>
      <c r="F103" s="29" t="s">
        <v>12</v>
      </c>
      <c r="G103" s="29" t="s">
        <v>24</v>
      </c>
      <c r="H103" s="30" t="s">
        <v>18</v>
      </c>
      <c r="I103" s="69"/>
      <c r="J103" s="40"/>
    </row>
    <row r="104" spans="1:12" s="20" customFormat="1" ht="31.5" customHeight="1" x14ac:dyDescent="0.2">
      <c r="A104" s="27">
        <v>93</v>
      </c>
      <c r="B104" s="96"/>
      <c r="C104" s="96"/>
      <c r="D104" s="3">
        <v>9999</v>
      </c>
      <c r="E104" s="27" t="s">
        <v>10</v>
      </c>
      <c r="F104" s="29" t="s">
        <v>12</v>
      </c>
      <c r="G104" s="29" t="s">
        <v>24</v>
      </c>
      <c r="H104" s="30" t="s">
        <v>17</v>
      </c>
      <c r="I104" s="69"/>
      <c r="J104" s="40"/>
    </row>
    <row r="105" spans="1:12" s="20" customFormat="1" ht="35.25" customHeight="1" x14ac:dyDescent="0.2">
      <c r="A105" s="27">
        <v>94</v>
      </c>
      <c r="B105" s="27">
        <v>79900000</v>
      </c>
      <c r="C105" s="27" t="s">
        <v>74</v>
      </c>
      <c r="D105" s="3">
        <f>4000-110</f>
        <v>3890</v>
      </c>
      <c r="E105" s="27" t="s">
        <v>10</v>
      </c>
      <c r="F105" s="29" t="s">
        <v>12</v>
      </c>
      <c r="G105" s="29" t="s">
        <v>24</v>
      </c>
      <c r="H105" s="30"/>
      <c r="I105" s="38"/>
      <c r="J105" s="40"/>
    </row>
    <row r="106" spans="1:12" s="20" customFormat="1" ht="26.25" customHeight="1" x14ac:dyDescent="0.2">
      <c r="A106" s="27">
        <v>95</v>
      </c>
      <c r="B106" s="27">
        <v>80500000</v>
      </c>
      <c r="C106" s="27" t="s">
        <v>84</v>
      </c>
      <c r="D106" s="3">
        <f>5000-3000</f>
        <v>2000</v>
      </c>
      <c r="E106" s="27" t="s">
        <v>10</v>
      </c>
      <c r="F106" s="29" t="s">
        <v>12</v>
      </c>
      <c r="G106" s="29" t="s">
        <v>24</v>
      </c>
      <c r="H106" s="30"/>
    </row>
    <row r="107" spans="1:12" s="20" customFormat="1" ht="30.75" customHeight="1" x14ac:dyDescent="0.2">
      <c r="A107" s="27">
        <v>96</v>
      </c>
      <c r="B107" s="27">
        <v>90900000</v>
      </c>
      <c r="C107" s="27" t="s">
        <v>52</v>
      </c>
      <c r="D107" s="3">
        <f>48004+64348</f>
        <v>112352</v>
      </c>
      <c r="E107" s="27" t="s">
        <v>25</v>
      </c>
      <c r="F107" s="29" t="s">
        <v>12</v>
      </c>
      <c r="G107" s="29" t="s">
        <v>24</v>
      </c>
      <c r="H107" s="30"/>
      <c r="I107" s="34"/>
      <c r="J107" s="40"/>
      <c r="L107" s="23"/>
    </row>
    <row r="108" spans="1:12" s="20" customFormat="1" ht="27" customHeight="1" x14ac:dyDescent="0.2">
      <c r="A108" s="27">
        <v>97</v>
      </c>
      <c r="B108" s="27">
        <v>92100000</v>
      </c>
      <c r="C108" s="27" t="s">
        <v>169</v>
      </c>
      <c r="D108" s="3">
        <f>7901+2089</f>
        <v>9990</v>
      </c>
      <c r="E108" s="27" t="s">
        <v>10</v>
      </c>
      <c r="F108" s="29" t="s">
        <v>166</v>
      </c>
      <c r="G108" s="29" t="s">
        <v>166</v>
      </c>
      <c r="H108" s="30"/>
    </row>
    <row r="109" spans="1:12" s="20" customFormat="1" ht="26.25" customHeight="1" x14ac:dyDescent="0.2">
      <c r="A109" s="27">
        <v>98</v>
      </c>
      <c r="B109" s="95">
        <v>92200000</v>
      </c>
      <c r="C109" s="95" t="s">
        <v>31</v>
      </c>
      <c r="D109" s="3">
        <f>3795+110</f>
        <v>3905</v>
      </c>
      <c r="E109" s="27" t="s">
        <v>10</v>
      </c>
      <c r="F109" s="29" t="s">
        <v>12</v>
      </c>
      <c r="G109" s="29" t="s">
        <v>24</v>
      </c>
      <c r="H109" s="30"/>
      <c r="I109" s="38"/>
      <c r="J109" s="40"/>
    </row>
    <row r="110" spans="1:12" s="20" customFormat="1" ht="36" customHeight="1" x14ac:dyDescent="0.2">
      <c r="A110" s="27">
        <v>99</v>
      </c>
      <c r="B110" s="96"/>
      <c r="C110" s="96"/>
      <c r="D110" s="3">
        <v>83744</v>
      </c>
      <c r="E110" s="27" t="s">
        <v>14</v>
      </c>
      <c r="F110" s="29" t="s">
        <v>166</v>
      </c>
      <c r="G110" s="29" t="s">
        <v>166</v>
      </c>
      <c r="H110" s="30" t="s">
        <v>13</v>
      </c>
      <c r="I110" s="38"/>
      <c r="J110" s="40"/>
    </row>
    <row r="111" spans="1:12" s="20" customFormat="1" ht="25.5" customHeight="1" x14ac:dyDescent="0.2">
      <c r="A111" s="27">
        <v>100</v>
      </c>
      <c r="B111" s="27">
        <v>92400000</v>
      </c>
      <c r="C111" s="27" t="s">
        <v>47</v>
      </c>
      <c r="D111" s="3">
        <f>5000-600</f>
        <v>4400</v>
      </c>
      <c r="E111" s="27" t="s">
        <v>10</v>
      </c>
      <c r="F111" s="29" t="s">
        <v>12</v>
      </c>
      <c r="G111" s="29" t="s">
        <v>24</v>
      </c>
      <c r="H111" s="30"/>
      <c r="I111" s="38"/>
      <c r="J111" s="40"/>
    </row>
    <row r="112" spans="1:12" s="20" customFormat="1" ht="39" customHeight="1" x14ac:dyDescent="0.2">
      <c r="A112" s="27">
        <v>101</v>
      </c>
      <c r="B112" s="27">
        <v>92500000</v>
      </c>
      <c r="C112" s="27" t="s">
        <v>37</v>
      </c>
      <c r="D112" s="3">
        <f>44000-968</f>
        <v>43032</v>
      </c>
      <c r="E112" s="27" t="s">
        <v>10</v>
      </c>
      <c r="F112" s="29" t="s">
        <v>12</v>
      </c>
      <c r="G112" s="29" t="s">
        <v>24</v>
      </c>
      <c r="H112" s="30" t="s">
        <v>17</v>
      </c>
      <c r="I112" s="38"/>
      <c r="J112" s="40"/>
    </row>
    <row r="113" spans="1:15" x14ac:dyDescent="0.2">
      <c r="C113" s="61"/>
      <c r="D113" s="5"/>
      <c r="E113" s="25"/>
      <c r="F113" s="70"/>
      <c r="G113" s="71"/>
    </row>
    <row r="114" spans="1:15" ht="15" customHeight="1" x14ac:dyDescent="0.2">
      <c r="A114" s="20"/>
      <c r="B114" s="20"/>
      <c r="D114" s="7"/>
      <c r="H114" s="25"/>
      <c r="J114" s="20"/>
    </row>
    <row r="115" spans="1:15" x14ac:dyDescent="0.2">
      <c r="C115" s="61"/>
      <c r="D115" s="5"/>
      <c r="E115" s="25"/>
      <c r="F115" s="70"/>
      <c r="G115" s="71"/>
    </row>
    <row r="116" spans="1:15" ht="27.75" customHeight="1" x14ac:dyDescent="0.2">
      <c r="A116" s="20"/>
      <c r="B116" s="102" t="s">
        <v>53</v>
      </c>
      <c r="C116" s="102"/>
      <c r="D116" s="6"/>
      <c r="E116" s="25"/>
      <c r="F116" s="25"/>
      <c r="J116" s="20"/>
    </row>
    <row r="117" spans="1:15" ht="13.5" customHeight="1" x14ac:dyDescent="0.2">
      <c r="A117" s="20"/>
      <c r="B117" s="20"/>
      <c r="D117" s="2"/>
      <c r="E117" s="101" t="s">
        <v>9</v>
      </c>
      <c r="F117" s="101"/>
      <c r="J117" s="20"/>
    </row>
    <row r="118" spans="1:15" ht="15" customHeight="1" x14ac:dyDescent="0.2">
      <c r="A118" s="20"/>
      <c r="B118" s="20"/>
      <c r="H118" s="25"/>
      <c r="J118" s="20"/>
    </row>
    <row r="119" spans="1:15" ht="31.5" customHeight="1" x14ac:dyDescent="0.2">
      <c r="A119" s="20"/>
      <c r="B119" s="102" t="s">
        <v>20</v>
      </c>
      <c r="C119" s="102"/>
      <c r="D119" s="59"/>
      <c r="H119" s="25"/>
      <c r="J119" s="20"/>
    </row>
    <row r="120" spans="1:15" x14ac:dyDescent="0.2">
      <c r="A120" s="20"/>
      <c r="B120" s="20"/>
      <c r="E120" s="101" t="s">
        <v>9</v>
      </c>
      <c r="F120" s="101"/>
      <c r="J120" s="20"/>
    </row>
    <row r="121" spans="1:15" ht="15" customHeight="1" x14ac:dyDescent="0.2">
      <c r="A121" s="20"/>
      <c r="B121" s="20"/>
      <c r="D121" s="7"/>
      <c r="H121" s="25"/>
      <c r="J121" s="20"/>
    </row>
    <row r="122" spans="1:15" x14ac:dyDescent="0.2">
      <c r="C122" s="61"/>
      <c r="D122" s="5"/>
      <c r="E122" s="25"/>
      <c r="F122" s="70"/>
      <c r="G122" s="71"/>
    </row>
    <row r="123" spans="1:15" ht="81.75" customHeight="1" x14ac:dyDescent="0.2">
      <c r="C123" s="49"/>
      <c r="D123" s="5"/>
      <c r="I123" s="40"/>
      <c r="J123" s="20"/>
    </row>
    <row r="124" spans="1:15" ht="50.25" customHeight="1" x14ac:dyDescent="0.2">
      <c r="A124" s="20"/>
      <c r="B124" s="20"/>
    </row>
    <row r="128" spans="1:15" x14ac:dyDescent="0.2">
      <c r="A128" s="20"/>
      <c r="B128" s="20"/>
      <c r="J128" s="20"/>
      <c r="N128" s="60"/>
      <c r="O128" s="60"/>
    </row>
    <row r="129" spans="1:15" x14ac:dyDescent="0.2">
      <c r="A129" s="20"/>
      <c r="B129" s="20"/>
      <c r="C129" s="61"/>
      <c r="J129" s="20"/>
      <c r="N129" s="60"/>
      <c r="O129" s="60"/>
    </row>
    <row r="130" spans="1:15" x14ac:dyDescent="0.2">
      <c r="A130" s="20"/>
      <c r="B130" s="20"/>
      <c r="C130" s="61"/>
      <c r="E130" s="61"/>
      <c r="J130" s="20"/>
      <c r="N130" s="60"/>
      <c r="O130" s="60"/>
    </row>
    <row r="131" spans="1:15" ht="19.5" customHeight="1" x14ac:dyDescent="0.2">
      <c r="A131" s="20"/>
      <c r="B131" s="20"/>
      <c r="C131" s="61"/>
      <c r="J131" s="20"/>
      <c r="N131" s="60"/>
      <c r="O131" s="60"/>
    </row>
    <row r="132" spans="1:15" x14ac:dyDescent="0.2">
      <c r="A132" s="20"/>
      <c r="B132" s="20"/>
      <c r="J132" s="20"/>
      <c r="N132" s="60"/>
      <c r="O132" s="60"/>
    </row>
    <row r="133" spans="1:15" ht="24.75" customHeight="1" x14ac:dyDescent="0.2">
      <c r="A133" s="20"/>
      <c r="B133" s="20"/>
      <c r="C133" s="25"/>
      <c r="J133" s="20"/>
      <c r="N133" s="60"/>
      <c r="O133" s="60"/>
    </row>
    <row r="134" spans="1:15" ht="22.5" customHeight="1" x14ac:dyDescent="0.2">
      <c r="A134" s="20"/>
      <c r="B134" s="20"/>
      <c r="J134" s="20"/>
      <c r="N134" s="60"/>
      <c r="O134" s="60"/>
    </row>
    <row r="135" spans="1:15" x14ac:dyDescent="0.2">
      <c r="A135" s="20"/>
      <c r="B135" s="20"/>
      <c r="C135" s="57"/>
      <c r="J135" s="20"/>
      <c r="N135" s="60"/>
      <c r="O135" s="60"/>
    </row>
    <row r="142" spans="1:15" x14ac:dyDescent="0.2">
      <c r="A142" s="20"/>
      <c r="B142" s="20"/>
    </row>
  </sheetData>
  <sheetProtection algorithmName="SHA-512" hashValue="GcmoZd23dsmzQstGriLDIsNnk+HD2ShjG4giNODDERmHq2aakL/DqwQVs5DDE0FxKKCeHuglm+iKYvIJMkxCbQ==" saltValue="MboewVx9UA5AEZvlfmYRqQ==" spinCount="100000" sheet="1" objects="1" scenarios="1"/>
  <mergeCells count="55">
    <mergeCell ref="E120:F120"/>
    <mergeCell ref="B109:B110"/>
    <mergeCell ref="C109:C110"/>
    <mergeCell ref="B116:C116"/>
    <mergeCell ref="E117:F117"/>
    <mergeCell ref="B119:C119"/>
    <mergeCell ref="B92:B93"/>
    <mergeCell ref="C92:C93"/>
    <mergeCell ref="B96:B97"/>
    <mergeCell ref="C96:C97"/>
    <mergeCell ref="B103:B104"/>
    <mergeCell ref="C103:C104"/>
    <mergeCell ref="B73:B77"/>
    <mergeCell ref="C73:C77"/>
    <mergeCell ref="B81:B82"/>
    <mergeCell ref="C81:C82"/>
    <mergeCell ref="B88:B91"/>
    <mergeCell ref="C88:C91"/>
    <mergeCell ref="B85:B86"/>
    <mergeCell ref="C85:C86"/>
    <mergeCell ref="B29:B32"/>
    <mergeCell ref="C29:C32"/>
    <mergeCell ref="B34:B35"/>
    <mergeCell ref="C34:C35"/>
    <mergeCell ref="B38:B39"/>
    <mergeCell ref="C38:C39"/>
    <mergeCell ref="B44:B45"/>
    <mergeCell ref="C44:C45"/>
    <mergeCell ref="B49:B51"/>
    <mergeCell ref="C49:C51"/>
    <mergeCell ref="B52:B53"/>
    <mergeCell ref="C52:C53"/>
    <mergeCell ref="B71:B72"/>
    <mergeCell ref="C71:C72"/>
    <mergeCell ref="A8:H8"/>
    <mergeCell ref="A9:H9"/>
    <mergeCell ref="B27:B28"/>
    <mergeCell ref="C27:C28"/>
    <mergeCell ref="B21:B22"/>
    <mergeCell ref="C21:C22"/>
    <mergeCell ref="B14:B15"/>
    <mergeCell ref="C14:C15"/>
    <mergeCell ref="B56:B57"/>
    <mergeCell ref="C56:C57"/>
    <mergeCell ref="B61:B62"/>
    <mergeCell ref="C61:C62"/>
    <mergeCell ref="B67:B68"/>
    <mergeCell ref="C67:C68"/>
    <mergeCell ref="C3:G3"/>
    <mergeCell ref="A4:E5"/>
    <mergeCell ref="F4:H4"/>
    <mergeCell ref="F5:H5"/>
    <mergeCell ref="A6:E6"/>
    <mergeCell ref="F6:H7"/>
    <mergeCell ref="A7:E7"/>
  </mergeCells>
  <phoneticPr fontId="1" type="noConversion"/>
  <pageMargins left="0.25" right="0" top="0.5" bottom="0" header="1.3" footer="1.3"/>
  <pageSetup paperSize="9" scale="64" orientation="portrait" r:id="rId1"/>
  <headerFooter alignWithMargins="0"/>
  <rowBreaks count="1" manualBreakCount="1">
    <brk id="81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FFA8-4957-4263-B5D8-3FD0C009FEAA}">
  <dimension ref="A1:N149"/>
  <sheetViews>
    <sheetView view="pageBreakPreview" topLeftCell="A116" zoomScale="120" zoomScaleNormal="115" zoomScaleSheetLayoutView="120" workbookViewId="0">
      <selection activeCell="H11" sqref="H11"/>
    </sheetView>
  </sheetViews>
  <sheetFormatPr defaultRowHeight="13.5" x14ac:dyDescent="0.2"/>
  <cols>
    <col min="1" max="1" width="3.85546875" style="19" customWidth="1"/>
    <col min="2" max="2" width="10" style="19" customWidth="1"/>
    <col min="3" max="3" width="53.7109375" style="20" customWidth="1"/>
    <col min="4" max="4" width="12.28515625" style="1" customWidth="1"/>
    <col min="5" max="5" width="10.42578125" style="20" customWidth="1"/>
    <col min="6" max="6" width="12.5703125" style="20" customWidth="1"/>
    <col min="7" max="7" width="16.42578125" style="20" customWidth="1"/>
    <col min="8" max="8" width="56.5703125" style="20" customWidth="1"/>
    <col min="9" max="9" width="29" style="19" customWidth="1"/>
    <col min="10" max="12" width="9.140625" style="20"/>
    <col min="13" max="16384" width="9.140625" style="21"/>
  </cols>
  <sheetData>
    <row r="1" spans="1:12" ht="18" customHeight="1" x14ac:dyDescent="0.2"/>
    <row r="2" spans="1:12" s="24" customFormat="1" ht="23.25" customHeight="1" x14ac:dyDescent="0.2">
      <c r="A2" s="20"/>
      <c r="B2" s="20"/>
      <c r="C2" s="20"/>
      <c r="D2" s="1"/>
      <c r="E2" s="20"/>
      <c r="F2" s="20"/>
      <c r="G2" s="20"/>
      <c r="H2" s="22" t="s">
        <v>105</v>
      </c>
      <c r="I2" s="19"/>
      <c r="J2" s="23"/>
      <c r="K2" s="23"/>
      <c r="L2" s="23"/>
    </row>
    <row r="3" spans="1:12" s="24" customFormat="1" ht="20.25" customHeight="1" x14ac:dyDescent="0.2">
      <c r="A3" s="20"/>
      <c r="B3" s="20"/>
      <c r="C3" s="77" t="s">
        <v>26</v>
      </c>
      <c r="D3" s="77"/>
      <c r="E3" s="77"/>
      <c r="F3" s="77"/>
      <c r="G3" s="77"/>
      <c r="H3" s="20"/>
      <c r="I3" s="19"/>
      <c r="J3" s="25"/>
      <c r="K3" s="23"/>
      <c r="L3" s="23"/>
    </row>
    <row r="4" spans="1:12" s="24" customFormat="1" ht="26.25" customHeight="1" x14ac:dyDescent="0.2">
      <c r="A4" s="78" t="s">
        <v>161</v>
      </c>
      <c r="B4" s="79"/>
      <c r="C4" s="79"/>
      <c r="D4" s="79"/>
      <c r="E4" s="80"/>
      <c r="F4" s="78" t="s">
        <v>7</v>
      </c>
      <c r="G4" s="79"/>
      <c r="H4" s="80"/>
      <c r="I4" s="19"/>
      <c r="J4" s="26"/>
      <c r="K4" s="23"/>
      <c r="L4" s="23"/>
    </row>
    <row r="5" spans="1:12" s="24" customFormat="1" ht="18.75" customHeight="1" x14ac:dyDescent="0.2">
      <c r="A5" s="81"/>
      <c r="B5" s="82"/>
      <c r="C5" s="82"/>
      <c r="D5" s="82"/>
      <c r="E5" s="83"/>
      <c r="F5" s="87">
        <v>204578581</v>
      </c>
      <c r="G5" s="88"/>
      <c r="H5" s="89"/>
      <c r="I5" s="19"/>
      <c r="J5" s="23"/>
      <c r="K5" s="23"/>
      <c r="L5" s="23"/>
    </row>
    <row r="6" spans="1:12" s="24" customFormat="1" ht="22.5" customHeight="1" x14ac:dyDescent="0.2">
      <c r="A6" s="78" t="s">
        <v>8</v>
      </c>
      <c r="B6" s="79"/>
      <c r="C6" s="79"/>
      <c r="D6" s="79"/>
      <c r="E6" s="80"/>
      <c r="F6" s="78" t="s">
        <v>106</v>
      </c>
      <c r="G6" s="90"/>
      <c r="H6" s="91"/>
      <c r="I6" s="19"/>
      <c r="J6" s="23"/>
      <c r="K6" s="23"/>
      <c r="L6" s="23"/>
    </row>
    <row r="7" spans="1:12" s="24" customFormat="1" ht="21.75" customHeight="1" x14ac:dyDescent="0.2">
      <c r="A7" s="87" t="s">
        <v>21</v>
      </c>
      <c r="B7" s="88"/>
      <c r="C7" s="88"/>
      <c r="D7" s="88"/>
      <c r="E7" s="89"/>
      <c r="F7" s="92"/>
      <c r="G7" s="93"/>
      <c r="H7" s="94"/>
      <c r="I7" s="19"/>
      <c r="J7" s="23"/>
      <c r="K7" s="23"/>
      <c r="L7" s="23"/>
    </row>
    <row r="8" spans="1:12" s="24" customFormat="1" ht="21" customHeight="1" x14ac:dyDescent="0.2">
      <c r="A8" s="78" t="s">
        <v>15</v>
      </c>
      <c r="B8" s="79"/>
      <c r="C8" s="79"/>
      <c r="D8" s="79"/>
      <c r="E8" s="79"/>
      <c r="F8" s="79"/>
      <c r="G8" s="79"/>
      <c r="H8" s="80"/>
      <c r="I8" s="19"/>
      <c r="J8" s="23"/>
      <c r="K8" s="23"/>
      <c r="L8" s="23"/>
    </row>
    <row r="9" spans="1:12" s="19" customFormat="1" ht="15.75" customHeight="1" x14ac:dyDescent="0.2">
      <c r="A9" s="103">
        <f>27561140-1546763.87</f>
        <v>26014376.129999999</v>
      </c>
      <c r="B9" s="104"/>
      <c r="C9" s="104"/>
      <c r="D9" s="104"/>
      <c r="E9" s="104"/>
      <c r="F9" s="104"/>
      <c r="G9" s="104"/>
      <c r="H9" s="104"/>
    </row>
    <row r="10" spans="1:12" s="28" customFormat="1" ht="57" customHeight="1" x14ac:dyDescent="0.2">
      <c r="A10" s="27" t="s">
        <v>1</v>
      </c>
      <c r="B10" s="27" t="s">
        <v>2</v>
      </c>
      <c r="C10" s="27" t="s">
        <v>3</v>
      </c>
      <c r="D10" s="4" t="s">
        <v>38</v>
      </c>
      <c r="E10" s="27" t="s">
        <v>4</v>
      </c>
      <c r="F10" s="27" t="s">
        <v>5</v>
      </c>
      <c r="G10" s="27" t="s">
        <v>6</v>
      </c>
      <c r="H10" s="27" t="s">
        <v>0</v>
      </c>
      <c r="I10" s="19"/>
      <c r="J10" s="19"/>
      <c r="K10" s="19"/>
      <c r="L10" s="19"/>
    </row>
    <row r="11" spans="1:12" s="28" customFormat="1" ht="15" customHeight="1" x14ac:dyDescent="0.2">
      <c r="A11" s="27">
        <v>1</v>
      </c>
      <c r="B11" s="27">
        <v>2</v>
      </c>
      <c r="C11" s="27">
        <v>3</v>
      </c>
      <c r="D11" s="3">
        <v>4</v>
      </c>
      <c r="E11" s="27">
        <v>5</v>
      </c>
      <c r="F11" s="27">
        <v>6</v>
      </c>
      <c r="G11" s="27">
        <v>7</v>
      </c>
      <c r="H11" s="27">
        <v>8</v>
      </c>
      <c r="I11" s="19"/>
      <c r="J11" s="19"/>
      <c r="K11" s="19"/>
      <c r="L11" s="19"/>
    </row>
    <row r="12" spans="1:12" s="20" customFormat="1" ht="33" customHeight="1" x14ac:dyDescent="0.2">
      <c r="A12" s="27">
        <v>1</v>
      </c>
      <c r="B12" s="29" t="s">
        <v>34</v>
      </c>
      <c r="C12" s="27" t="s">
        <v>35</v>
      </c>
      <c r="D12" s="3">
        <f>1052750-876</f>
        <v>1051874</v>
      </c>
      <c r="E12" s="27" t="s">
        <v>14</v>
      </c>
      <c r="F12" s="29" t="s">
        <v>12</v>
      </c>
      <c r="G12" s="29" t="s">
        <v>24</v>
      </c>
      <c r="H12" s="30" t="s">
        <v>13</v>
      </c>
      <c r="I12" s="31"/>
    </row>
    <row r="13" spans="1:12" s="20" customFormat="1" ht="35.25" customHeight="1" x14ac:dyDescent="0.2">
      <c r="A13" s="27">
        <v>2</v>
      </c>
      <c r="B13" s="105" t="s">
        <v>107</v>
      </c>
      <c r="C13" s="95" t="s">
        <v>49</v>
      </c>
      <c r="D13" s="3">
        <v>9900</v>
      </c>
      <c r="E13" s="27" t="s">
        <v>10</v>
      </c>
      <c r="F13" s="29" t="s">
        <v>12</v>
      </c>
      <c r="G13" s="29" t="s">
        <v>24</v>
      </c>
      <c r="H13" s="30"/>
      <c r="I13" s="32"/>
    </row>
    <row r="14" spans="1:12" s="20" customFormat="1" ht="35.25" customHeight="1" x14ac:dyDescent="0.2">
      <c r="A14" s="27">
        <v>3</v>
      </c>
      <c r="B14" s="106"/>
      <c r="C14" s="96"/>
      <c r="D14" s="3">
        <f>49136-44000</f>
        <v>5136</v>
      </c>
      <c r="E14" s="27" t="s">
        <v>14</v>
      </c>
      <c r="F14" s="29" t="s">
        <v>12</v>
      </c>
      <c r="G14" s="29" t="s">
        <v>24</v>
      </c>
      <c r="H14" s="30" t="s">
        <v>13</v>
      </c>
      <c r="I14" s="19"/>
    </row>
    <row r="15" spans="1:12" s="20" customFormat="1" ht="33" customHeight="1" x14ac:dyDescent="0.2">
      <c r="A15" s="27">
        <v>4</v>
      </c>
      <c r="B15" s="27">
        <v>14200000</v>
      </c>
      <c r="C15" s="27" t="s">
        <v>162</v>
      </c>
      <c r="D15" s="3">
        <f>10000-100</f>
        <v>9900</v>
      </c>
      <c r="E15" s="27" t="s">
        <v>10</v>
      </c>
      <c r="F15" s="29" t="s">
        <v>163</v>
      </c>
      <c r="G15" s="29" t="s">
        <v>164</v>
      </c>
      <c r="H15" s="27"/>
      <c r="I15" s="33"/>
      <c r="J15" s="33"/>
    </row>
    <row r="16" spans="1:12" s="35" customFormat="1" ht="33" customHeight="1" x14ac:dyDescent="0.2">
      <c r="A16" s="27">
        <v>5</v>
      </c>
      <c r="B16" s="27">
        <v>15900000</v>
      </c>
      <c r="C16" s="27" t="s">
        <v>61</v>
      </c>
      <c r="D16" s="3">
        <v>5000</v>
      </c>
      <c r="E16" s="27" t="s">
        <v>10</v>
      </c>
      <c r="F16" s="29" t="s">
        <v>12</v>
      </c>
      <c r="G16" s="29" t="s">
        <v>24</v>
      </c>
      <c r="H16" s="30" t="s">
        <v>59</v>
      </c>
      <c r="I16" s="19"/>
      <c r="J16" s="34"/>
    </row>
    <row r="17" spans="1:11" s="20" customFormat="1" ht="35.25" customHeight="1" x14ac:dyDescent="0.2">
      <c r="A17" s="27">
        <v>6</v>
      </c>
      <c r="B17" s="27">
        <v>16300000</v>
      </c>
      <c r="C17" s="27" t="s">
        <v>108</v>
      </c>
      <c r="D17" s="8">
        <v>2000</v>
      </c>
      <c r="E17" s="27" t="s">
        <v>10</v>
      </c>
      <c r="F17" s="29" t="s">
        <v>97</v>
      </c>
      <c r="G17" s="29" t="s">
        <v>98</v>
      </c>
      <c r="H17" s="30"/>
      <c r="I17" s="19"/>
    </row>
    <row r="18" spans="1:11" s="20" customFormat="1" ht="39.75" customHeight="1" x14ac:dyDescent="0.2">
      <c r="A18" s="27">
        <v>7</v>
      </c>
      <c r="B18" s="27">
        <v>16600000</v>
      </c>
      <c r="C18" s="27" t="s">
        <v>109</v>
      </c>
      <c r="D18" s="8">
        <f>1272000-108924</f>
        <v>1163076</v>
      </c>
      <c r="E18" s="27" t="s">
        <v>25</v>
      </c>
      <c r="F18" s="29" t="s">
        <v>12</v>
      </c>
      <c r="G18" s="29" t="s">
        <v>24</v>
      </c>
      <c r="H18" s="30"/>
      <c r="I18" s="36"/>
      <c r="J18" s="36"/>
      <c r="K18" s="34"/>
    </row>
    <row r="19" spans="1:11" s="20" customFormat="1" ht="38.25" customHeight="1" x14ac:dyDescent="0.2">
      <c r="A19" s="27">
        <v>8</v>
      </c>
      <c r="B19" s="27">
        <v>18100000</v>
      </c>
      <c r="C19" s="27" t="s">
        <v>110</v>
      </c>
      <c r="D19" s="3">
        <f>4050+310</f>
        <v>4360</v>
      </c>
      <c r="E19" s="27" t="s">
        <v>10</v>
      </c>
      <c r="F19" s="29" t="s">
        <v>12</v>
      </c>
      <c r="G19" s="29" t="s">
        <v>24</v>
      </c>
      <c r="H19" s="30"/>
      <c r="I19" s="37"/>
    </row>
    <row r="20" spans="1:11" s="20" customFormat="1" ht="35.25" customHeight="1" x14ac:dyDescent="0.2">
      <c r="A20" s="27">
        <v>9</v>
      </c>
      <c r="B20" s="27">
        <v>18200000</v>
      </c>
      <c r="C20" s="27" t="s">
        <v>111</v>
      </c>
      <c r="D20" s="3">
        <v>1630</v>
      </c>
      <c r="E20" s="27" t="s">
        <v>10</v>
      </c>
      <c r="F20" s="29" t="s">
        <v>97</v>
      </c>
      <c r="G20" s="29" t="s">
        <v>98</v>
      </c>
      <c r="H20" s="30"/>
      <c r="I20" s="19"/>
    </row>
    <row r="21" spans="1:11" s="20" customFormat="1" ht="35.25" customHeight="1" x14ac:dyDescent="0.2">
      <c r="A21" s="27">
        <v>10</v>
      </c>
      <c r="B21" s="27">
        <v>18300000</v>
      </c>
      <c r="C21" s="27" t="s">
        <v>78</v>
      </c>
      <c r="D21" s="3">
        <v>7000</v>
      </c>
      <c r="E21" s="27" t="s">
        <v>10</v>
      </c>
      <c r="F21" s="29" t="s">
        <v>12</v>
      </c>
      <c r="G21" s="29" t="s">
        <v>24</v>
      </c>
      <c r="H21" s="30"/>
      <c r="I21" s="19"/>
    </row>
    <row r="22" spans="1:11" s="20" customFormat="1" ht="36" customHeight="1" x14ac:dyDescent="0.2">
      <c r="A22" s="27">
        <v>11</v>
      </c>
      <c r="B22" s="27">
        <v>18400000</v>
      </c>
      <c r="C22" s="27" t="s">
        <v>65</v>
      </c>
      <c r="D22" s="3">
        <f>70000-2126</f>
        <v>67874</v>
      </c>
      <c r="E22" s="27" t="s">
        <v>25</v>
      </c>
      <c r="F22" s="29" t="s">
        <v>12</v>
      </c>
      <c r="G22" s="29" t="s">
        <v>24</v>
      </c>
      <c r="H22" s="30"/>
      <c r="I22" s="37"/>
      <c r="J22" s="34"/>
    </row>
    <row r="23" spans="1:11" s="20" customFormat="1" ht="38.25" customHeight="1" x14ac:dyDescent="0.2">
      <c r="A23" s="27">
        <v>12</v>
      </c>
      <c r="B23" s="95">
        <v>18500000</v>
      </c>
      <c r="C23" s="95" t="s">
        <v>54</v>
      </c>
      <c r="D23" s="3">
        <f>8800+6000</f>
        <v>14800</v>
      </c>
      <c r="E23" s="27" t="s">
        <v>10</v>
      </c>
      <c r="F23" s="29" t="s">
        <v>12</v>
      </c>
      <c r="G23" s="29" t="s">
        <v>24</v>
      </c>
      <c r="H23" s="30" t="s">
        <v>59</v>
      </c>
      <c r="I23" s="19"/>
    </row>
    <row r="24" spans="1:11" s="20" customFormat="1" ht="38.25" customHeight="1" x14ac:dyDescent="0.2">
      <c r="A24" s="27">
        <v>13</v>
      </c>
      <c r="B24" s="96"/>
      <c r="C24" s="96"/>
      <c r="D24" s="3">
        <v>9900</v>
      </c>
      <c r="E24" s="27" t="s">
        <v>10</v>
      </c>
      <c r="F24" s="29" t="s">
        <v>12</v>
      </c>
      <c r="G24" s="29" t="s">
        <v>24</v>
      </c>
      <c r="H24" s="30"/>
      <c r="I24" s="19"/>
    </row>
    <row r="25" spans="1:11" s="20" customFormat="1" ht="36" customHeight="1" x14ac:dyDescent="0.2">
      <c r="A25" s="27">
        <v>14</v>
      </c>
      <c r="B25" s="27">
        <v>18800000</v>
      </c>
      <c r="C25" s="27" t="s">
        <v>99</v>
      </c>
      <c r="D25" s="3">
        <f>136000-3200</f>
        <v>132800</v>
      </c>
      <c r="E25" s="27" t="s">
        <v>25</v>
      </c>
      <c r="F25" s="29" t="s">
        <v>12</v>
      </c>
      <c r="G25" s="29" t="s">
        <v>24</v>
      </c>
      <c r="H25" s="30"/>
      <c r="I25" s="37"/>
      <c r="J25" s="34"/>
    </row>
    <row r="26" spans="1:11" s="20" customFormat="1" ht="31.5" customHeight="1" x14ac:dyDescent="0.2">
      <c r="A26" s="27">
        <v>15</v>
      </c>
      <c r="B26" s="27">
        <v>18900000</v>
      </c>
      <c r="C26" s="27" t="s">
        <v>112</v>
      </c>
      <c r="D26" s="3">
        <f>3100-100</f>
        <v>3000</v>
      </c>
      <c r="E26" s="27" t="s">
        <v>10</v>
      </c>
      <c r="F26" s="29" t="s">
        <v>12</v>
      </c>
      <c r="G26" s="29" t="s">
        <v>24</v>
      </c>
      <c r="H26" s="30"/>
      <c r="I26" s="19"/>
      <c r="J26" s="34"/>
    </row>
    <row r="27" spans="1:11" s="20" customFormat="1" ht="33.75" customHeight="1" x14ac:dyDescent="0.2">
      <c r="A27" s="27">
        <v>16</v>
      </c>
      <c r="B27" s="27">
        <v>19400000</v>
      </c>
      <c r="C27" s="27" t="s">
        <v>113</v>
      </c>
      <c r="D27" s="3">
        <v>1000</v>
      </c>
      <c r="E27" s="27" t="s">
        <v>10</v>
      </c>
      <c r="F27" s="29" t="s">
        <v>12</v>
      </c>
      <c r="G27" s="29" t="s">
        <v>24</v>
      </c>
      <c r="H27" s="30"/>
      <c r="I27" s="37"/>
      <c r="J27" s="38"/>
      <c r="K27" s="34"/>
    </row>
    <row r="28" spans="1:11" s="20" customFormat="1" ht="33.75" customHeight="1" x14ac:dyDescent="0.2">
      <c r="A28" s="27">
        <v>17</v>
      </c>
      <c r="B28" s="27">
        <v>19600000</v>
      </c>
      <c r="C28" s="27" t="s">
        <v>114</v>
      </c>
      <c r="D28" s="3">
        <v>200</v>
      </c>
      <c r="E28" s="27" t="s">
        <v>10</v>
      </c>
      <c r="F28" s="29" t="s">
        <v>97</v>
      </c>
      <c r="G28" s="29" t="s">
        <v>98</v>
      </c>
      <c r="H28" s="39"/>
      <c r="I28" s="36"/>
    </row>
    <row r="29" spans="1:11" s="20" customFormat="1" ht="33" customHeight="1" x14ac:dyDescent="0.2">
      <c r="A29" s="27">
        <v>18</v>
      </c>
      <c r="B29" s="27">
        <v>22100000</v>
      </c>
      <c r="C29" s="27" t="s">
        <v>115</v>
      </c>
      <c r="D29" s="3">
        <f>9200-8700</f>
        <v>500</v>
      </c>
      <c r="E29" s="27" t="s">
        <v>10</v>
      </c>
      <c r="F29" s="29" t="s">
        <v>12</v>
      </c>
      <c r="G29" s="29" t="s">
        <v>24</v>
      </c>
      <c r="H29" s="30"/>
      <c r="I29" s="32"/>
    </row>
    <row r="30" spans="1:11" s="20" customFormat="1" ht="36.75" customHeight="1" x14ac:dyDescent="0.2">
      <c r="A30" s="27">
        <v>19</v>
      </c>
      <c r="B30" s="27">
        <v>22400000</v>
      </c>
      <c r="C30" s="27" t="s">
        <v>57</v>
      </c>
      <c r="D30" s="3">
        <f>5000+1000</f>
        <v>6000</v>
      </c>
      <c r="E30" s="27" t="s">
        <v>10</v>
      </c>
      <c r="F30" s="29" t="s">
        <v>12</v>
      </c>
      <c r="G30" s="29" t="s">
        <v>24</v>
      </c>
      <c r="H30" s="30"/>
      <c r="I30" s="37"/>
    </row>
    <row r="31" spans="1:11" s="20" customFormat="1" ht="44.25" customHeight="1" x14ac:dyDescent="0.2">
      <c r="A31" s="27">
        <v>20</v>
      </c>
      <c r="B31" s="27">
        <v>22800000</v>
      </c>
      <c r="C31" s="27" t="s">
        <v>83</v>
      </c>
      <c r="D31" s="3">
        <f>9000-2589</f>
        <v>6411</v>
      </c>
      <c r="E31" s="27" t="s">
        <v>10</v>
      </c>
      <c r="F31" s="29" t="s">
        <v>12</v>
      </c>
      <c r="G31" s="29" t="s">
        <v>24</v>
      </c>
      <c r="H31" s="30"/>
      <c r="I31" s="38"/>
      <c r="J31" s="38"/>
      <c r="K31" s="40"/>
    </row>
    <row r="32" spans="1:11" s="20" customFormat="1" ht="35.25" customHeight="1" x14ac:dyDescent="0.2">
      <c r="A32" s="27">
        <v>21</v>
      </c>
      <c r="B32" s="27">
        <v>22900000</v>
      </c>
      <c r="C32" s="27" t="s">
        <v>116</v>
      </c>
      <c r="D32" s="3">
        <v>2000</v>
      </c>
      <c r="E32" s="27" t="s">
        <v>10</v>
      </c>
      <c r="F32" s="29" t="s">
        <v>12</v>
      </c>
      <c r="G32" s="29" t="s">
        <v>24</v>
      </c>
      <c r="H32" s="30"/>
      <c r="I32" s="19"/>
    </row>
    <row r="33" spans="1:11" s="20" customFormat="1" ht="37.5" customHeight="1" x14ac:dyDescent="0.2">
      <c r="A33" s="27">
        <v>22</v>
      </c>
      <c r="B33" s="27">
        <v>24400000</v>
      </c>
      <c r="C33" s="27" t="s">
        <v>82</v>
      </c>
      <c r="D33" s="3">
        <f>2000+7100</f>
        <v>9100</v>
      </c>
      <c r="E33" s="27" t="s">
        <v>10</v>
      </c>
      <c r="F33" s="29" t="s">
        <v>12</v>
      </c>
      <c r="G33" s="29" t="s">
        <v>24</v>
      </c>
      <c r="H33" s="30"/>
      <c r="I33" s="32"/>
    </row>
    <row r="34" spans="1:11" s="20" customFormat="1" ht="35.25" customHeight="1" x14ac:dyDescent="0.2">
      <c r="A34" s="27">
        <v>23</v>
      </c>
      <c r="B34" s="27">
        <v>24900000</v>
      </c>
      <c r="C34" s="27" t="s">
        <v>117</v>
      </c>
      <c r="D34" s="3">
        <v>480</v>
      </c>
      <c r="E34" s="27" t="s">
        <v>10</v>
      </c>
      <c r="F34" s="29" t="s">
        <v>97</v>
      </c>
      <c r="G34" s="29" t="s">
        <v>98</v>
      </c>
      <c r="H34" s="30"/>
      <c r="I34" s="19"/>
    </row>
    <row r="35" spans="1:11" s="20" customFormat="1" ht="31.5" customHeight="1" x14ac:dyDescent="0.2">
      <c r="A35" s="27">
        <v>24</v>
      </c>
      <c r="B35" s="99">
        <v>30100000</v>
      </c>
      <c r="C35" s="99" t="s">
        <v>22</v>
      </c>
      <c r="D35" s="9">
        <v>8000</v>
      </c>
      <c r="E35" s="27" t="s">
        <v>14</v>
      </c>
      <c r="F35" s="29" t="s">
        <v>12</v>
      </c>
      <c r="G35" s="29" t="s">
        <v>24</v>
      </c>
      <c r="H35" s="30" t="s">
        <v>13</v>
      </c>
      <c r="I35" s="19"/>
    </row>
    <row r="36" spans="1:11" s="20" customFormat="1" ht="34.5" customHeight="1" x14ac:dyDescent="0.2">
      <c r="A36" s="27">
        <v>25</v>
      </c>
      <c r="B36" s="99"/>
      <c r="C36" s="99"/>
      <c r="D36" s="9">
        <v>9000</v>
      </c>
      <c r="E36" s="27" t="s">
        <v>10</v>
      </c>
      <c r="F36" s="29" t="s">
        <v>12</v>
      </c>
      <c r="G36" s="29" t="s">
        <v>24</v>
      </c>
      <c r="H36" s="30"/>
      <c r="I36" s="19"/>
    </row>
    <row r="37" spans="1:11" s="20" customFormat="1" ht="27" customHeight="1" x14ac:dyDescent="0.2">
      <c r="A37" s="27">
        <v>26</v>
      </c>
      <c r="B37" s="95">
        <v>30200000</v>
      </c>
      <c r="C37" s="95" t="s">
        <v>101</v>
      </c>
      <c r="D37" s="42">
        <f>9000-4201</f>
        <v>4799</v>
      </c>
      <c r="E37" s="27" t="s">
        <v>10</v>
      </c>
      <c r="F37" s="29" t="s">
        <v>12</v>
      </c>
      <c r="G37" s="29" t="s">
        <v>24</v>
      </c>
      <c r="H37" s="30"/>
      <c r="I37" s="37"/>
    </row>
    <row r="38" spans="1:11" s="20" customFormat="1" ht="27" customHeight="1" x14ac:dyDescent="0.2">
      <c r="A38" s="27">
        <v>27</v>
      </c>
      <c r="B38" s="96"/>
      <c r="C38" s="96"/>
      <c r="D38" s="43">
        <v>5200</v>
      </c>
      <c r="E38" s="27" t="s">
        <v>10</v>
      </c>
      <c r="F38" s="29" t="s">
        <v>163</v>
      </c>
      <c r="G38" s="29" t="s">
        <v>164</v>
      </c>
      <c r="H38" s="30"/>
      <c r="I38" s="37"/>
    </row>
    <row r="39" spans="1:11" s="20" customFormat="1" ht="33.75" customHeight="1" x14ac:dyDescent="0.2">
      <c r="A39" s="27">
        <v>28</v>
      </c>
      <c r="B39" s="27">
        <v>31200000</v>
      </c>
      <c r="C39" s="27" t="s">
        <v>118</v>
      </c>
      <c r="D39" s="3">
        <v>3000</v>
      </c>
      <c r="E39" s="27" t="s">
        <v>10</v>
      </c>
      <c r="F39" s="29" t="s">
        <v>12</v>
      </c>
      <c r="G39" s="29" t="s">
        <v>24</v>
      </c>
      <c r="H39" s="30"/>
      <c r="I39" s="37"/>
    </row>
    <row r="40" spans="1:11" s="20" customFormat="1" ht="38.25" customHeight="1" x14ac:dyDescent="0.2">
      <c r="A40" s="27">
        <v>29</v>
      </c>
      <c r="B40" s="27">
        <v>31300000</v>
      </c>
      <c r="C40" s="27" t="s">
        <v>119</v>
      </c>
      <c r="D40" s="3">
        <f>3600+1512</f>
        <v>5112</v>
      </c>
      <c r="E40" s="27" t="s">
        <v>10</v>
      </c>
      <c r="F40" s="29" t="s">
        <v>12</v>
      </c>
      <c r="G40" s="29" t="s">
        <v>24</v>
      </c>
      <c r="H40" s="30"/>
      <c r="I40" s="37"/>
    </row>
    <row r="41" spans="1:11" s="20" customFormat="1" ht="33.75" customHeight="1" x14ac:dyDescent="0.2">
      <c r="A41" s="27">
        <v>30</v>
      </c>
      <c r="B41" s="27">
        <v>31500000</v>
      </c>
      <c r="C41" s="27" t="s">
        <v>73</v>
      </c>
      <c r="D41" s="3">
        <v>9900</v>
      </c>
      <c r="E41" s="27" t="s">
        <v>10</v>
      </c>
      <c r="F41" s="29" t="s">
        <v>12</v>
      </c>
      <c r="G41" s="29" t="s">
        <v>24</v>
      </c>
      <c r="H41" s="44"/>
      <c r="I41" s="19"/>
    </row>
    <row r="42" spans="1:11" s="20" customFormat="1" ht="33.75" customHeight="1" x14ac:dyDescent="0.2">
      <c r="A42" s="27">
        <v>31</v>
      </c>
      <c r="B42" s="27">
        <v>31600000</v>
      </c>
      <c r="C42" s="27" t="s">
        <v>165</v>
      </c>
      <c r="D42" s="3">
        <v>100</v>
      </c>
      <c r="E42" s="27" t="s">
        <v>10</v>
      </c>
      <c r="F42" s="29" t="s">
        <v>163</v>
      </c>
      <c r="G42" s="29" t="s">
        <v>164</v>
      </c>
      <c r="H42" s="44"/>
      <c r="I42" s="19"/>
    </row>
    <row r="43" spans="1:11" s="20" customFormat="1" ht="36" customHeight="1" x14ac:dyDescent="0.2">
      <c r="A43" s="27">
        <v>32</v>
      </c>
      <c r="B43" s="27">
        <v>32200000</v>
      </c>
      <c r="C43" s="27" t="s">
        <v>58</v>
      </c>
      <c r="D43" s="3">
        <v>9000</v>
      </c>
      <c r="E43" s="27" t="s">
        <v>10</v>
      </c>
      <c r="F43" s="29" t="s">
        <v>12</v>
      </c>
      <c r="G43" s="29" t="s">
        <v>24</v>
      </c>
      <c r="H43" s="44"/>
      <c r="I43" s="19"/>
    </row>
    <row r="44" spans="1:11" s="20" customFormat="1" ht="37.5" customHeight="1" x14ac:dyDescent="0.2">
      <c r="A44" s="27">
        <v>33</v>
      </c>
      <c r="B44" s="27">
        <v>32300000</v>
      </c>
      <c r="C44" s="27" t="s">
        <v>95</v>
      </c>
      <c r="D44" s="8">
        <v>8104</v>
      </c>
      <c r="E44" s="27" t="s">
        <v>10</v>
      </c>
      <c r="F44" s="29" t="s">
        <v>166</v>
      </c>
      <c r="G44" s="29" t="s">
        <v>166</v>
      </c>
      <c r="H44" s="30"/>
      <c r="I44" s="38"/>
      <c r="J44" s="34"/>
    </row>
    <row r="45" spans="1:11" s="20" customFormat="1" ht="33.75" customHeight="1" x14ac:dyDescent="0.2">
      <c r="A45" s="27">
        <v>34</v>
      </c>
      <c r="B45" s="45">
        <v>32400000</v>
      </c>
      <c r="C45" s="45" t="s">
        <v>43</v>
      </c>
      <c r="D45" s="8">
        <v>18000</v>
      </c>
      <c r="E45" s="27" t="s">
        <v>25</v>
      </c>
      <c r="F45" s="29" t="s">
        <v>12</v>
      </c>
      <c r="G45" s="29" t="s">
        <v>24</v>
      </c>
      <c r="H45" s="30"/>
      <c r="I45" s="38"/>
      <c r="J45" s="38"/>
      <c r="K45" s="34"/>
    </row>
    <row r="46" spans="1:11" s="20" customFormat="1" ht="33.75" customHeight="1" x14ac:dyDescent="0.2">
      <c r="A46" s="27">
        <v>35</v>
      </c>
      <c r="B46" s="27">
        <v>33100000</v>
      </c>
      <c r="C46" s="27" t="s">
        <v>120</v>
      </c>
      <c r="D46" s="3">
        <f>9600+2100</f>
        <v>11700</v>
      </c>
      <c r="E46" s="27" t="s">
        <v>10</v>
      </c>
      <c r="F46" s="29" t="s">
        <v>12</v>
      </c>
      <c r="G46" s="29" t="s">
        <v>24</v>
      </c>
      <c r="H46" s="44"/>
      <c r="I46" s="19"/>
    </row>
    <row r="47" spans="1:11" s="20" customFormat="1" ht="37.5" customHeight="1" x14ac:dyDescent="0.2">
      <c r="A47" s="27">
        <v>36</v>
      </c>
      <c r="B47" s="27">
        <v>34100000</v>
      </c>
      <c r="C47" s="27" t="s">
        <v>121</v>
      </c>
      <c r="D47" s="8">
        <f>3122600+100820</f>
        <v>3223420</v>
      </c>
      <c r="E47" s="27" t="s">
        <v>25</v>
      </c>
      <c r="F47" s="29" t="s">
        <v>12</v>
      </c>
      <c r="G47" s="29" t="s">
        <v>24</v>
      </c>
      <c r="H47" s="30"/>
      <c r="I47" s="38"/>
      <c r="J47" s="34"/>
    </row>
    <row r="48" spans="1:11" s="20" customFormat="1" ht="40.5" customHeight="1" x14ac:dyDescent="0.2">
      <c r="A48" s="27">
        <v>37</v>
      </c>
      <c r="B48" s="45">
        <v>34300000</v>
      </c>
      <c r="C48" s="45" t="s">
        <v>36</v>
      </c>
      <c r="D48" s="3">
        <f>438700-15060</f>
        <v>423640</v>
      </c>
      <c r="E48" s="27" t="s">
        <v>14</v>
      </c>
      <c r="F48" s="29" t="s">
        <v>12</v>
      </c>
      <c r="G48" s="29" t="s">
        <v>24</v>
      </c>
      <c r="H48" s="30" t="s">
        <v>13</v>
      </c>
      <c r="I48" s="31"/>
    </row>
    <row r="49" spans="1:11" s="20" customFormat="1" ht="41.25" customHeight="1" x14ac:dyDescent="0.2">
      <c r="A49" s="27">
        <v>38</v>
      </c>
      <c r="B49" s="27">
        <v>34400000</v>
      </c>
      <c r="C49" s="27" t="s">
        <v>122</v>
      </c>
      <c r="D49" s="3">
        <v>4000</v>
      </c>
      <c r="E49" s="27" t="s">
        <v>10</v>
      </c>
      <c r="F49" s="29" t="s">
        <v>12</v>
      </c>
      <c r="G49" s="29" t="s">
        <v>24</v>
      </c>
      <c r="H49" s="30"/>
      <c r="I49" s="37"/>
    </row>
    <row r="50" spans="1:11" s="20" customFormat="1" ht="41.25" customHeight="1" x14ac:dyDescent="0.2">
      <c r="A50" s="27">
        <v>39</v>
      </c>
      <c r="B50" s="27">
        <v>34900000</v>
      </c>
      <c r="C50" s="27" t="s">
        <v>123</v>
      </c>
      <c r="D50" s="3">
        <v>3000</v>
      </c>
      <c r="E50" s="27" t="s">
        <v>10</v>
      </c>
      <c r="F50" s="29" t="s">
        <v>12</v>
      </c>
      <c r="G50" s="29" t="s">
        <v>24</v>
      </c>
      <c r="H50" s="30"/>
      <c r="I50" s="31"/>
      <c r="J50" s="34"/>
    </row>
    <row r="51" spans="1:11" s="20" customFormat="1" ht="38.25" customHeight="1" x14ac:dyDescent="0.2">
      <c r="A51" s="27">
        <v>40</v>
      </c>
      <c r="B51" s="27">
        <v>35100000</v>
      </c>
      <c r="C51" s="27" t="s">
        <v>68</v>
      </c>
      <c r="D51" s="3">
        <f>10000-100</f>
        <v>9900</v>
      </c>
      <c r="E51" s="27" t="s">
        <v>10</v>
      </c>
      <c r="F51" s="29" t="s">
        <v>12</v>
      </c>
      <c r="G51" s="29" t="s">
        <v>24</v>
      </c>
      <c r="H51" s="27"/>
      <c r="I51" s="33"/>
      <c r="J51" s="33"/>
    </row>
    <row r="52" spans="1:11" s="20" customFormat="1" ht="39" customHeight="1" x14ac:dyDescent="0.2">
      <c r="A52" s="27">
        <v>41</v>
      </c>
      <c r="B52" s="27">
        <v>35300000</v>
      </c>
      <c r="C52" s="27" t="s">
        <v>66</v>
      </c>
      <c r="D52" s="3">
        <v>9000</v>
      </c>
      <c r="E52" s="27" t="s">
        <v>10</v>
      </c>
      <c r="F52" s="29" t="s">
        <v>12</v>
      </c>
      <c r="G52" s="29" t="s">
        <v>24</v>
      </c>
      <c r="H52" s="44"/>
      <c r="I52" s="19"/>
    </row>
    <row r="53" spans="1:11" s="20" customFormat="1" ht="37.5" customHeight="1" x14ac:dyDescent="0.2">
      <c r="A53" s="27">
        <v>42</v>
      </c>
      <c r="B53" s="27">
        <v>35800000</v>
      </c>
      <c r="C53" s="27" t="s">
        <v>124</v>
      </c>
      <c r="D53" s="3">
        <v>9900</v>
      </c>
      <c r="E53" s="27" t="s">
        <v>10</v>
      </c>
      <c r="F53" s="29" t="s">
        <v>12</v>
      </c>
      <c r="G53" s="29" t="s">
        <v>24</v>
      </c>
      <c r="H53" s="27"/>
      <c r="I53" s="19"/>
    </row>
    <row r="54" spans="1:11" s="20" customFormat="1" ht="36" customHeight="1" x14ac:dyDescent="0.2">
      <c r="A54" s="27">
        <v>43</v>
      </c>
      <c r="B54" s="95">
        <v>38100000</v>
      </c>
      <c r="C54" s="95" t="s">
        <v>102</v>
      </c>
      <c r="D54" s="3">
        <v>50000</v>
      </c>
      <c r="E54" s="27" t="s">
        <v>25</v>
      </c>
      <c r="F54" s="29" t="s">
        <v>12</v>
      </c>
      <c r="G54" s="29" t="s">
        <v>24</v>
      </c>
      <c r="H54" s="30"/>
      <c r="I54" s="37"/>
      <c r="J54" s="34"/>
    </row>
    <row r="55" spans="1:11" s="20" customFormat="1" ht="36" customHeight="1" x14ac:dyDescent="0.2">
      <c r="A55" s="27">
        <v>44</v>
      </c>
      <c r="B55" s="96"/>
      <c r="C55" s="96"/>
      <c r="D55" s="8">
        <v>28400</v>
      </c>
      <c r="E55" s="27" t="s">
        <v>25</v>
      </c>
      <c r="F55" s="29" t="s">
        <v>97</v>
      </c>
      <c r="G55" s="29" t="s">
        <v>98</v>
      </c>
      <c r="H55" s="30"/>
      <c r="I55" s="37"/>
      <c r="J55" s="34"/>
    </row>
    <row r="56" spans="1:11" s="20" customFormat="1" ht="33.75" customHeight="1" x14ac:dyDescent="0.2">
      <c r="A56" s="27">
        <v>45</v>
      </c>
      <c r="B56" s="27">
        <v>38300000</v>
      </c>
      <c r="C56" s="27" t="s">
        <v>125</v>
      </c>
      <c r="D56" s="3">
        <v>200</v>
      </c>
      <c r="E56" s="27" t="s">
        <v>10</v>
      </c>
      <c r="F56" s="29" t="s">
        <v>97</v>
      </c>
      <c r="G56" s="29" t="s">
        <v>98</v>
      </c>
      <c r="H56" s="39"/>
      <c r="I56" s="36"/>
    </row>
    <row r="57" spans="1:11" s="20" customFormat="1" ht="33.75" customHeight="1" x14ac:dyDescent="0.2">
      <c r="A57" s="27">
        <v>46</v>
      </c>
      <c r="B57" s="27">
        <v>38600000</v>
      </c>
      <c r="C57" s="27" t="s">
        <v>94</v>
      </c>
      <c r="D57" s="3">
        <v>500</v>
      </c>
      <c r="E57" s="27" t="s">
        <v>10</v>
      </c>
      <c r="F57" s="29" t="s">
        <v>97</v>
      </c>
      <c r="G57" s="29" t="s">
        <v>98</v>
      </c>
      <c r="H57" s="39"/>
      <c r="I57" s="36"/>
    </row>
    <row r="58" spans="1:11" s="20" customFormat="1" ht="33.75" customHeight="1" x14ac:dyDescent="0.2">
      <c r="A58" s="27">
        <v>47</v>
      </c>
      <c r="B58" s="95">
        <v>39100000</v>
      </c>
      <c r="C58" s="95" t="s">
        <v>11</v>
      </c>
      <c r="D58" s="3">
        <f>9000-3700</f>
        <v>5300</v>
      </c>
      <c r="E58" s="27" t="s">
        <v>25</v>
      </c>
      <c r="F58" s="29" t="s">
        <v>12</v>
      </c>
      <c r="G58" s="29" t="s">
        <v>24</v>
      </c>
      <c r="H58" s="30"/>
      <c r="I58" s="19"/>
      <c r="K58" s="23"/>
    </row>
    <row r="59" spans="1:11" s="20" customFormat="1" ht="33.75" customHeight="1" x14ac:dyDescent="0.2">
      <c r="A59" s="27">
        <v>48</v>
      </c>
      <c r="B59" s="96"/>
      <c r="C59" s="96"/>
      <c r="D59" s="8">
        <f>50000-1940</f>
        <v>48060</v>
      </c>
      <c r="E59" s="27" t="s">
        <v>25</v>
      </c>
      <c r="F59" s="29" t="s">
        <v>12</v>
      </c>
      <c r="G59" s="29" t="s">
        <v>24</v>
      </c>
      <c r="H59" s="30"/>
      <c r="I59" s="19"/>
      <c r="K59" s="23"/>
    </row>
    <row r="60" spans="1:11" s="20" customFormat="1" ht="35.25" customHeight="1" x14ac:dyDescent="0.2">
      <c r="A60" s="27">
        <v>49</v>
      </c>
      <c r="B60" s="45">
        <v>39200000</v>
      </c>
      <c r="C60" s="45" t="s">
        <v>51</v>
      </c>
      <c r="D60" s="3">
        <v>9900</v>
      </c>
      <c r="E60" s="27" t="s">
        <v>10</v>
      </c>
      <c r="F60" s="29" t="s">
        <v>12</v>
      </c>
      <c r="G60" s="29" t="s">
        <v>24</v>
      </c>
      <c r="H60" s="27"/>
      <c r="I60" s="31"/>
    </row>
    <row r="61" spans="1:11" s="20" customFormat="1" ht="37.5" customHeight="1" x14ac:dyDescent="0.2">
      <c r="A61" s="27">
        <v>50</v>
      </c>
      <c r="B61" s="27">
        <v>39500000</v>
      </c>
      <c r="C61" s="27" t="s">
        <v>126</v>
      </c>
      <c r="D61" s="3">
        <f>6000+3000</f>
        <v>9000</v>
      </c>
      <c r="E61" s="27" t="s">
        <v>10</v>
      </c>
      <c r="F61" s="29" t="s">
        <v>12</v>
      </c>
      <c r="G61" s="29" t="s">
        <v>24</v>
      </c>
      <c r="H61" s="27"/>
      <c r="I61" s="34"/>
    </row>
    <row r="62" spans="1:11" s="20" customFormat="1" ht="33.75" customHeight="1" x14ac:dyDescent="0.2">
      <c r="A62" s="27">
        <v>51</v>
      </c>
      <c r="B62" s="95">
        <v>39700000</v>
      </c>
      <c r="C62" s="95" t="s">
        <v>127</v>
      </c>
      <c r="D62" s="3">
        <f>9000-1600</f>
        <v>7400</v>
      </c>
      <c r="E62" s="27" t="s">
        <v>10</v>
      </c>
      <c r="F62" s="29" t="s">
        <v>12</v>
      </c>
      <c r="G62" s="29" t="s">
        <v>24</v>
      </c>
      <c r="H62" s="27"/>
      <c r="I62" s="34"/>
    </row>
    <row r="63" spans="1:11" s="20" customFormat="1" ht="33.75" customHeight="1" x14ac:dyDescent="0.2">
      <c r="A63" s="27">
        <v>52</v>
      </c>
      <c r="B63" s="96"/>
      <c r="C63" s="96"/>
      <c r="D63" s="8">
        <f>650+1940</f>
        <v>2590</v>
      </c>
      <c r="E63" s="27" t="s">
        <v>10</v>
      </c>
      <c r="F63" s="29" t="s">
        <v>163</v>
      </c>
      <c r="G63" s="29" t="s">
        <v>164</v>
      </c>
      <c r="H63" s="27"/>
      <c r="I63" s="34"/>
    </row>
    <row r="64" spans="1:11" s="20" customFormat="1" ht="33.75" customHeight="1" x14ac:dyDescent="0.2">
      <c r="A64" s="27">
        <v>53</v>
      </c>
      <c r="B64" s="27">
        <v>39800000</v>
      </c>
      <c r="C64" s="27" t="s">
        <v>128</v>
      </c>
      <c r="D64" s="3">
        <v>1000</v>
      </c>
      <c r="E64" s="27" t="s">
        <v>10</v>
      </c>
      <c r="F64" s="29" t="s">
        <v>12</v>
      </c>
      <c r="G64" s="29" t="s">
        <v>24</v>
      </c>
      <c r="H64" s="44"/>
      <c r="I64" s="19"/>
    </row>
    <row r="65" spans="1:11" s="20" customFormat="1" ht="32.25" customHeight="1" x14ac:dyDescent="0.2">
      <c r="A65" s="27">
        <v>54</v>
      </c>
      <c r="B65" s="27">
        <v>41100000</v>
      </c>
      <c r="C65" s="27" t="s">
        <v>129</v>
      </c>
      <c r="D65" s="3">
        <v>2000</v>
      </c>
      <c r="E65" s="27" t="s">
        <v>10</v>
      </c>
      <c r="F65" s="29" t="s">
        <v>12</v>
      </c>
      <c r="G65" s="29" t="s">
        <v>24</v>
      </c>
      <c r="H65" s="30"/>
      <c r="I65" s="19"/>
      <c r="J65" s="34"/>
      <c r="K65" s="40"/>
    </row>
    <row r="66" spans="1:11" s="20" customFormat="1" ht="34.5" customHeight="1" x14ac:dyDescent="0.2">
      <c r="A66" s="27">
        <v>55</v>
      </c>
      <c r="B66" s="45">
        <v>42100000</v>
      </c>
      <c r="C66" s="45" t="s">
        <v>92</v>
      </c>
      <c r="D66" s="3">
        <f>1000+485</f>
        <v>1485</v>
      </c>
      <c r="E66" s="27" t="s">
        <v>10</v>
      </c>
      <c r="F66" s="29" t="s">
        <v>12</v>
      </c>
      <c r="G66" s="29" t="s">
        <v>24</v>
      </c>
      <c r="H66" s="30"/>
      <c r="I66" s="34"/>
    </row>
    <row r="67" spans="1:11" s="20" customFormat="1" ht="35.25" customHeight="1" x14ac:dyDescent="0.2">
      <c r="A67" s="27">
        <v>56</v>
      </c>
      <c r="B67" s="27">
        <v>42400000</v>
      </c>
      <c r="C67" s="27" t="s">
        <v>130</v>
      </c>
      <c r="D67" s="3">
        <v>3000</v>
      </c>
      <c r="E67" s="27" t="s">
        <v>10</v>
      </c>
      <c r="F67" s="29" t="s">
        <v>12</v>
      </c>
      <c r="G67" s="29" t="s">
        <v>24</v>
      </c>
      <c r="H67" s="30"/>
      <c r="I67" s="37"/>
    </row>
    <row r="68" spans="1:11" s="20" customFormat="1" ht="33.75" customHeight="1" x14ac:dyDescent="0.2">
      <c r="A68" s="27">
        <v>57</v>
      </c>
      <c r="B68" s="27">
        <v>42500000</v>
      </c>
      <c r="C68" s="27" t="s">
        <v>104</v>
      </c>
      <c r="D68" s="8">
        <v>9200</v>
      </c>
      <c r="E68" s="27" t="s">
        <v>10</v>
      </c>
      <c r="F68" s="29" t="s">
        <v>97</v>
      </c>
      <c r="G68" s="29" t="s">
        <v>98</v>
      </c>
      <c r="H68" s="30"/>
      <c r="I68" s="37"/>
      <c r="J68" s="34"/>
    </row>
    <row r="69" spans="1:11" s="20" customFormat="1" ht="34.5" customHeight="1" x14ac:dyDescent="0.2">
      <c r="A69" s="27">
        <v>58</v>
      </c>
      <c r="B69" s="27">
        <v>42600000</v>
      </c>
      <c r="C69" s="27" t="s">
        <v>131</v>
      </c>
      <c r="D69" s="3">
        <v>9999</v>
      </c>
      <c r="E69" s="27" t="s">
        <v>10</v>
      </c>
      <c r="F69" s="29" t="s">
        <v>12</v>
      </c>
      <c r="G69" s="29" t="s">
        <v>24</v>
      </c>
      <c r="H69" s="30"/>
      <c r="I69" s="31"/>
      <c r="J69" s="40"/>
    </row>
    <row r="70" spans="1:11" s="20" customFormat="1" ht="32.25" customHeight="1" x14ac:dyDescent="0.2">
      <c r="A70" s="27">
        <v>59</v>
      </c>
      <c r="B70" s="95">
        <v>42900000</v>
      </c>
      <c r="C70" s="95" t="s">
        <v>50</v>
      </c>
      <c r="D70" s="3">
        <v>20000</v>
      </c>
      <c r="E70" s="27" t="s">
        <v>14</v>
      </c>
      <c r="F70" s="29" t="s">
        <v>12</v>
      </c>
      <c r="G70" s="29" t="s">
        <v>24</v>
      </c>
      <c r="H70" s="30" t="s">
        <v>13</v>
      </c>
      <c r="I70" s="34"/>
      <c r="J70" s="34"/>
    </row>
    <row r="71" spans="1:11" s="20" customFormat="1" ht="32.25" customHeight="1" x14ac:dyDescent="0.2">
      <c r="A71" s="27">
        <v>60</v>
      </c>
      <c r="B71" s="96"/>
      <c r="C71" s="96"/>
      <c r="D71" s="3">
        <f>1000+396</f>
        <v>1396</v>
      </c>
      <c r="E71" s="27" t="s">
        <v>10</v>
      </c>
      <c r="F71" s="29" t="s">
        <v>12</v>
      </c>
      <c r="G71" s="29" t="s">
        <v>24</v>
      </c>
      <c r="H71" s="30"/>
      <c r="I71" s="34"/>
      <c r="J71" s="34"/>
    </row>
    <row r="72" spans="1:11" s="20" customFormat="1" ht="37.5" customHeight="1" x14ac:dyDescent="0.2">
      <c r="A72" s="27">
        <v>61</v>
      </c>
      <c r="B72" s="27">
        <v>43200000</v>
      </c>
      <c r="C72" s="27" t="s">
        <v>153</v>
      </c>
      <c r="D72" s="8">
        <f>1870000-147900</f>
        <v>1722100</v>
      </c>
      <c r="E72" s="27" t="s">
        <v>25</v>
      </c>
      <c r="F72" s="29" t="s">
        <v>163</v>
      </c>
      <c r="G72" s="29" t="s">
        <v>164</v>
      </c>
      <c r="H72" s="30"/>
      <c r="I72" s="38"/>
      <c r="J72" s="34"/>
    </row>
    <row r="73" spans="1:11" s="20" customFormat="1" ht="33" customHeight="1" x14ac:dyDescent="0.2">
      <c r="A73" s="27">
        <v>62</v>
      </c>
      <c r="B73" s="27">
        <v>44100000</v>
      </c>
      <c r="C73" s="27" t="s">
        <v>88</v>
      </c>
      <c r="D73" s="3">
        <f>9000-310</f>
        <v>8690</v>
      </c>
      <c r="E73" s="27" t="s">
        <v>10</v>
      </c>
      <c r="F73" s="29" t="s">
        <v>12</v>
      </c>
      <c r="G73" s="29" t="s">
        <v>24</v>
      </c>
      <c r="H73" s="30"/>
      <c r="I73" s="32"/>
    </row>
    <row r="74" spans="1:11" s="20" customFormat="1" ht="35.25" customHeight="1" x14ac:dyDescent="0.2">
      <c r="A74" s="27">
        <v>63</v>
      </c>
      <c r="B74" s="27">
        <v>44200000</v>
      </c>
      <c r="C74" s="27" t="s">
        <v>91</v>
      </c>
      <c r="D74" s="8">
        <v>5400</v>
      </c>
      <c r="E74" s="27" t="s">
        <v>10</v>
      </c>
      <c r="F74" s="29" t="s">
        <v>12</v>
      </c>
      <c r="G74" s="29" t="s">
        <v>24</v>
      </c>
      <c r="H74" s="30"/>
      <c r="I74" s="38"/>
    </row>
    <row r="75" spans="1:11" s="20" customFormat="1" ht="33" customHeight="1" x14ac:dyDescent="0.2">
      <c r="A75" s="27">
        <v>64</v>
      </c>
      <c r="B75" s="27">
        <v>44300000</v>
      </c>
      <c r="C75" s="27" t="s">
        <v>167</v>
      </c>
      <c r="D75" s="3">
        <f>2000+61</f>
        <v>2061</v>
      </c>
      <c r="E75" s="27" t="s">
        <v>10</v>
      </c>
      <c r="F75" s="29" t="s">
        <v>163</v>
      </c>
      <c r="G75" s="29" t="s">
        <v>164</v>
      </c>
      <c r="H75" s="27"/>
      <c r="I75" s="33"/>
      <c r="J75" s="33"/>
    </row>
    <row r="76" spans="1:11" s="20" customFormat="1" ht="31.5" customHeight="1" x14ac:dyDescent="0.2">
      <c r="A76" s="27">
        <v>65</v>
      </c>
      <c r="B76" s="45">
        <v>44400000</v>
      </c>
      <c r="C76" s="45" t="s">
        <v>42</v>
      </c>
      <c r="D76" s="3">
        <f>266650+15060</f>
        <v>281710</v>
      </c>
      <c r="E76" s="27" t="s">
        <v>25</v>
      </c>
      <c r="F76" s="29" t="s">
        <v>12</v>
      </c>
      <c r="G76" s="29" t="s">
        <v>24</v>
      </c>
      <c r="H76" s="30"/>
      <c r="I76" s="32"/>
    </row>
    <row r="77" spans="1:11" s="35" customFormat="1" ht="36.75" customHeight="1" x14ac:dyDescent="0.2">
      <c r="A77" s="27">
        <v>66</v>
      </c>
      <c r="B77" s="46">
        <v>44500000</v>
      </c>
      <c r="C77" s="27" t="s">
        <v>132</v>
      </c>
      <c r="D77" s="3">
        <f>9000+500</f>
        <v>9500</v>
      </c>
      <c r="E77" s="27" t="s">
        <v>10</v>
      </c>
      <c r="F77" s="29" t="s">
        <v>12</v>
      </c>
      <c r="G77" s="29" t="s">
        <v>24</v>
      </c>
      <c r="H77" s="27"/>
      <c r="I77" s="34"/>
    </row>
    <row r="78" spans="1:11" s="20" customFormat="1" ht="35.25" customHeight="1" x14ac:dyDescent="0.2">
      <c r="A78" s="27">
        <v>67</v>
      </c>
      <c r="B78" s="27">
        <v>44600000</v>
      </c>
      <c r="C78" s="27" t="s">
        <v>168</v>
      </c>
      <c r="D78" s="8">
        <v>97800</v>
      </c>
      <c r="E78" s="27" t="s">
        <v>25</v>
      </c>
      <c r="F78" s="29" t="s">
        <v>163</v>
      </c>
      <c r="G78" s="29" t="s">
        <v>164</v>
      </c>
      <c r="H78" s="30"/>
      <c r="I78" s="38"/>
    </row>
    <row r="79" spans="1:11" s="20" customFormat="1" ht="33" customHeight="1" x14ac:dyDescent="0.2">
      <c r="A79" s="27">
        <v>68</v>
      </c>
      <c r="B79" s="27">
        <v>44800000</v>
      </c>
      <c r="C79" s="27" t="s">
        <v>90</v>
      </c>
      <c r="D79" s="3">
        <v>201</v>
      </c>
      <c r="E79" s="27" t="s">
        <v>10</v>
      </c>
      <c r="F79" s="29" t="s">
        <v>12</v>
      </c>
      <c r="G79" s="29" t="s">
        <v>24</v>
      </c>
      <c r="H79" s="30"/>
      <c r="I79" s="31"/>
    </row>
    <row r="80" spans="1:11" s="20" customFormat="1" ht="34.5" customHeight="1" x14ac:dyDescent="0.2">
      <c r="A80" s="27">
        <v>69</v>
      </c>
      <c r="B80" s="27">
        <v>45200000</v>
      </c>
      <c r="C80" s="27" t="s">
        <v>64</v>
      </c>
      <c r="D80" s="8">
        <f>494950-5850</f>
        <v>489100</v>
      </c>
      <c r="E80" s="27" t="s">
        <v>25</v>
      </c>
      <c r="F80" s="29" t="s">
        <v>12</v>
      </c>
      <c r="G80" s="29" t="s">
        <v>24</v>
      </c>
      <c r="H80" s="30"/>
      <c r="I80" s="36"/>
      <c r="J80" s="36"/>
      <c r="K80" s="34"/>
    </row>
    <row r="81" spans="1:11" s="20" customFormat="1" ht="27.75" customHeight="1" x14ac:dyDescent="0.2">
      <c r="A81" s="27">
        <v>70</v>
      </c>
      <c r="B81" s="95">
        <v>45300000</v>
      </c>
      <c r="C81" s="95" t="s">
        <v>72</v>
      </c>
      <c r="D81" s="8">
        <f>9900-700</f>
        <v>9200</v>
      </c>
      <c r="E81" s="27" t="s">
        <v>10</v>
      </c>
      <c r="F81" s="29" t="s">
        <v>97</v>
      </c>
      <c r="G81" s="29" t="s">
        <v>98</v>
      </c>
      <c r="H81" s="30"/>
      <c r="I81" s="36"/>
      <c r="J81" s="34"/>
      <c r="K81" s="34"/>
    </row>
    <row r="82" spans="1:11" s="20" customFormat="1" ht="33.75" customHeight="1" x14ac:dyDescent="0.2">
      <c r="A82" s="27">
        <v>71</v>
      </c>
      <c r="B82" s="96"/>
      <c r="C82" s="96"/>
      <c r="D82" s="3">
        <v>700</v>
      </c>
      <c r="E82" s="27" t="s">
        <v>10</v>
      </c>
      <c r="F82" s="29" t="s">
        <v>163</v>
      </c>
      <c r="G82" s="29" t="s">
        <v>164</v>
      </c>
      <c r="H82" s="30"/>
      <c r="I82" s="36"/>
      <c r="J82" s="34"/>
      <c r="K82" s="34"/>
    </row>
    <row r="83" spans="1:11" s="35" customFormat="1" ht="35.25" customHeight="1" x14ac:dyDescent="0.2">
      <c r="A83" s="27">
        <v>72</v>
      </c>
      <c r="B83" s="27">
        <v>45400000</v>
      </c>
      <c r="C83" s="27" t="s">
        <v>71</v>
      </c>
      <c r="D83" s="8">
        <f>788210-97100</f>
        <v>691110</v>
      </c>
      <c r="E83" s="27" t="s">
        <v>25</v>
      </c>
      <c r="F83" s="29" t="s">
        <v>12</v>
      </c>
      <c r="G83" s="29" t="s">
        <v>24</v>
      </c>
      <c r="H83" s="27"/>
      <c r="I83" s="34"/>
      <c r="J83" s="34"/>
    </row>
    <row r="84" spans="1:11" s="35" customFormat="1" ht="36.75" customHeight="1" x14ac:dyDescent="0.2">
      <c r="A84" s="27">
        <v>73</v>
      </c>
      <c r="B84" s="46">
        <v>48400000</v>
      </c>
      <c r="C84" s="27" t="s">
        <v>133</v>
      </c>
      <c r="D84" s="13">
        <v>25000</v>
      </c>
      <c r="E84" s="27" t="s">
        <v>10</v>
      </c>
      <c r="F84" s="29" t="s">
        <v>12</v>
      </c>
      <c r="G84" s="29" t="s">
        <v>24</v>
      </c>
      <c r="H84" s="30" t="s">
        <v>18</v>
      </c>
      <c r="I84" s="19"/>
    </row>
    <row r="85" spans="1:11" s="20" customFormat="1" ht="31.5" customHeight="1" x14ac:dyDescent="0.2">
      <c r="A85" s="27">
        <v>74</v>
      </c>
      <c r="B85" s="99">
        <v>50100000</v>
      </c>
      <c r="C85" s="99" t="s">
        <v>23</v>
      </c>
      <c r="D85" s="3">
        <f>40000+78000</f>
        <v>118000</v>
      </c>
      <c r="E85" s="27" t="s">
        <v>14</v>
      </c>
      <c r="F85" s="29" t="s">
        <v>12</v>
      </c>
      <c r="G85" s="29" t="s">
        <v>24</v>
      </c>
      <c r="H85" s="30" t="s">
        <v>13</v>
      </c>
      <c r="I85" s="47"/>
      <c r="J85" s="25"/>
    </row>
    <row r="86" spans="1:11" s="20" customFormat="1" ht="35.25" customHeight="1" x14ac:dyDescent="0.2">
      <c r="A86" s="27">
        <v>75</v>
      </c>
      <c r="B86" s="99"/>
      <c r="C86" s="99"/>
      <c r="D86" s="3">
        <f>464000+24000</f>
        <v>488000</v>
      </c>
      <c r="E86" s="27" t="s">
        <v>25</v>
      </c>
      <c r="F86" s="29" t="s">
        <v>12</v>
      </c>
      <c r="G86" s="29" t="s">
        <v>24</v>
      </c>
      <c r="H86" s="30"/>
      <c r="I86" s="47"/>
      <c r="J86" s="25"/>
    </row>
    <row r="87" spans="1:11" s="20" customFormat="1" ht="31.5" customHeight="1" x14ac:dyDescent="0.2">
      <c r="A87" s="27">
        <v>76</v>
      </c>
      <c r="B87" s="99"/>
      <c r="C87" s="99"/>
      <c r="D87" s="3">
        <f>469626-102000</f>
        <v>367626</v>
      </c>
      <c r="E87" s="27" t="s">
        <v>10</v>
      </c>
      <c r="F87" s="29" t="s">
        <v>12</v>
      </c>
      <c r="G87" s="29" t="s">
        <v>24</v>
      </c>
      <c r="H87" s="30" t="s">
        <v>89</v>
      </c>
      <c r="I87" s="47"/>
      <c r="J87" s="25"/>
    </row>
    <row r="88" spans="1:11" s="20" customFormat="1" ht="49.5" customHeight="1" x14ac:dyDescent="0.2">
      <c r="A88" s="27">
        <v>77</v>
      </c>
      <c r="B88" s="27">
        <v>50500000</v>
      </c>
      <c r="C88" s="27" t="s">
        <v>93</v>
      </c>
      <c r="D88" s="3">
        <v>9900</v>
      </c>
      <c r="E88" s="27" t="s">
        <v>10</v>
      </c>
      <c r="F88" s="29" t="s">
        <v>12</v>
      </c>
      <c r="G88" s="29" t="s">
        <v>24</v>
      </c>
      <c r="H88" s="30"/>
      <c r="I88" s="19"/>
      <c r="J88" s="40"/>
    </row>
    <row r="89" spans="1:11" s="20" customFormat="1" ht="39" customHeight="1" x14ac:dyDescent="0.2">
      <c r="A89" s="27">
        <v>78</v>
      </c>
      <c r="B89" s="27">
        <v>50700000</v>
      </c>
      <c r="C89" s="27" t="s">
        <v>44</v>
      </c>
      <c r="D89" s="3">
        <v>1520</v>
      </c>
      <c r="E89" s="27" t="s">
        <v>10</v>
      </c>
      <c r="F89" s="29" t="s">
        <v>97</v>
      </c>
      <c r="G89" s="29" t="s">
        <v>98</v>
      </c>
      <c r="H89" s="30"/>
      <c r="I89" s="34"/>
      <c r="J89" s="34"/>
      <c r="K89" s="40"/>
    </row>
    <row r="90" spans="1:11" s="19" customFormat="1" ht="39" customHeight="1" x14ac:dyDescent="0.2">
      <c r="A90" s="27">
        <v>79</v>
      </c>
      <c r="B90" s="95">
        <v>55300000</v>
      </c>
      <c r="C90" s="95" t="s">
        <v>75</v>
      </c>
      <c r="D90" s="3">
        <f>15300+9000</f>
        <v>24300</v>
      </c>
      <c r="E90" s="27" t="s">
        <v>10</v>
      </c>
      <c r="F90" s="29" t="s">
        <v>12</v>
      </c>
      <c r="G90" s="29" t="s">
        <v>24</v>
      </c>
      <c r="H90" s="30" t="s">
        <v>59</v>
      </c>
    </row>
    <row r="91" spans="1:11" s="19" customFormat="1" ht="39" customHeight="1" x14ac:dyDescent="0.2">
      <c r="A91" s="27">
        <v>80</v>
      </c>
      <c r="B91" s="96"/>
      <c r="C91" s="96"/>
      <c r="D91" s="3">
        <v>9900</v>
      </c>
      <c r="E91" s="27" t="s">
        <v>10</v>
      </c>
      <c r="F91" s="29" t="s">
        <v>12</v>
      </c>
      <c r="G91" s="29" t="s">
        <v>24</v>
      </c>
      <c r="H91" s="30"/>
    </row>
    <row r="92" spans="1:11" s="20" customFormat="1" ht="36" customHeight="1" x14ac:dyDescent="0.2">
      <c r="A92" s="27">
        <v>81</v>
      </c>
      <c r="B92" s="27">
        <v>60100000</v>
      </c>
      <c r="C92" s="27" t="s">
        <v>155</v>
      </c>
      <c r="D92" s="3">
        <v>9900</v>
      </c>
      <c r="E92" s="27" t="s">
        <v>10</v>
      </c>
      <c r="F92" s="29" t="s">
        <v>166</v>
      </c>
      <c r="G92" s="29" t="s">
        <v>166</v>
      </c>
      <c r="H92" s="30"/>
      <c r="I92" s="33"/>
      <c r="J92" s="38"/>
      <c r="K92" s="40"/>
    </row>
    <row r="93" spans="1:11" s="20" customFormat="1" ht="33.75" customHeight="1" x14ac:dyDescent="0.2">
      <c r="A93" s="27">
        <v>82</v>
      </c>
      <c r="B93" s="27">
        <v>63100000</v>
      </c>
      <c r="C93" s="27" t="s">
        <v>45</v>
      </c>
      <c r="D93" s="3">
        <v>9990</v>
      </c>
      <c r="E93" s="27" t="s">
        <v>10</v>
      </c>
      <c r="F93" s="29" t="s">
        <v>12</v>
      </c>
      <c r="G93" s="29" t="s">
        <v>24</v>
      </c>
      <c r="H93" s="30"/>
      <c r="I93" s="31"/>
      <c r="J93" s="40"/>
    </row>
    <row r="94" spans="1:11" s="19" customFormat="1" ht="39" customHeight="1" x14ac:dyDescent="0.2">
      <c r="A94" s="27">
        <v>83</v>
      </c>
      <c r="B94" s="95">
        <v>63700000</v>
      </c>
      <c r="C94" s="95" t="s">
        <v>19</v>
      </c>
      <c r="D94" s="3">
        <v>10000</v>
      </c>
      <c r="E94" s="27" t="s">
        <v>10</v>
      </c>
      <c r="F94" s="29" t="s">
        <v>12</v>
      </c>
      <c r="G94" s="29" t="s">
        <v>24</v>
      </c>
      <c r="H94" s="30" t="s">
        <v>17</v>
      </c>
    </row>
    <row r="95" spans="1:11" s="19" customFormat="1" ht="39" customHeight="1" x14ac:dyDescent="0.2">
      <c r="A95" s="27">
        <v>84</v>
      </c>
      <c r="B95" s="96"/>
      <c r="C95" s="96"/>
      <c r="D95" s="3">
        <v>30000</v>
      </c>
      <c r="E95" s="27" t="s">
        <v>25</v>
      </c>
      <c r="F95" s="29" t="s">
        <v>12</v>
      </c>
      <c r="G95" s="29" t="s">
        <v>24</v>
      </c>
      <c r="H95" s="30"/>
    </row>
    <row r="96" spans="1:11" s="20" customFormat="1" ht="35.25" customHeight="1" x14ac:dyDescent="0.2">
      <c r="A96" s="27">
        <v>85</v>
      </c>
      <c r="B96" s="27">
        <v>65100000</v>
      </c>
      <c r="C96" s="27" t="s">
        <v>134</v>
      </c>
      <c r="D96" s="3">
        <f>864+330</f>
        <v>1194</v>
      </c>
      <c r="E96" s="27" t="s">
        <v>10</v>
      </c>
      <c r="F96" s="29" t="s">
        <v>97</v>
      </c>
      <c r="G96" s="29" t="s">
        <v>98</v>
      </c>
      <c r="H96" s="30"/>
      <c r="I96" s="19"/>
    </row>
    <row r="97" spans="1:11" s="20" customFormat="1" ht="32.25" customHeight="1" x14ac:dyDescent="0.2">
      <c r="A97" s="27">
        <v>86</v>
      </c>
      <c r="B97" s="45">
        <v>65200000</v>
      </c>
      <c r="C97" s="45" t="s">
        <v>135</v>
      </c>
      <c r="D97" s="8">
        <v>1250</v>
      </c>
      <c r="E97" s="27" t="s">
        <v>10</v>
      </c>
      <c r="F97" s="29" t="s">
        <v>12</v>
      </c>
      <c r="G97" s="29" t="s">
        <v>24</v>
      </c>
      <c r="H97" s="30"/>
      <c r="I97" s="37"/>
    </row>
    <row r="98" spans="1:11" s="20" customFormat="1" ht="35.25" customHeight="1" x14ac:dyDescent="0.2">
      <c r="A98" s="27">
        <v>87</v>
      </c>
      <c r="B98" s="95">
        <v>66500000</v>
      </c>
      <c r="C98" s="95" t="s">
        <v>33</v>
      </c>
      <c r="D98" s="48">
        <f>155000+100000</f>
        <v>255000</v>
      </c>
      <c r="E98" s="27" t="s">
        <v>14</v>
      </c>
      <c r="F98" s="29" t="s">
        <v>12</v>
      </c>
      <c r="G98" s="29" t="s">
        <v>24</v>
      </c>
      <c r="H98" s="30" t="s">
        <v>13</v>
      </c>
      <c r="I98" s="38"/>
      <c r="J98" s="38"/>
      <c r="K98" s="40"/>
    </row>
    <row r="99" spans="1:11" s="20" customFormat="1" ht="35.25" customHeight="1" x14ac:dyDescent="0.2">
      <c r="A99" s="27">
        <v>88</v>
      </c>
      <c r="B99" s="96"/>
      <c r="C99" s="96"/>
      <c r="D99" s="48">
        <v>130140</v>
      </c>
      <c r="E99" s="27" t="s">
        <v>25</v>
      </c>
      <c r="F99" s="29" t="s">
        <v>12</v>
      </c>
      <c r="G99" s="29" t="s">
        <v>24</v>
      </c>
      <c r="H99" s="30"/>
      <c r="I99" s="38"/>
      <c r="J99" s="38"/>
      <c r="K99" s="40"/>
    </row>
    <row r="100" spans="1:11" s="20" customFormat="1" ht="35.25" customHeight="1" x14ac:dyDescent="0.2">
      <c r="A100" s="27">
        <v>89</v>
      </c>
      <c r="B100" s="27">
        <v>71600000</v>
      </c>
      <c r="C100" s="27" t="s">
        <v>136</v>
      </c>
      <c r="D100" s="3">
        <v>15000</v>
      </c>
      <c r="E100" s="27" t="s">
        <v>10</v>
      </c>
      <c r="F100" s="29" t="s">
        <v>12</v>
      </c>
      <c r="G100" s="29" t="s">
        <v>24</v>
      </c>
      <c r="H100" s="30" t="s">
        <v>17</v>
      </c>
      <c r="I100" s="32"/>
    </row>
    <row r="101" spans="1:11" s="20" customFormat="1" ht="38.25" customHeight="1" x14ac:dyDescent="0.2">
      <c r="A101" s="27">
        <v>90</v>
      </c>
      <c r="B101" s="45">
        <v>72200000</v>
      </c>
      <c r="C101" s="45" t="s">
        <v>55</v>
      </c>
      <c r="D101" s="3">
        <v>9900</v>
      </c>
      <c r="E101" s="27" t="s">
        <v>10</v>
      </c>
      <c r="F101" s="29" t="s">
        <v>163</v>
      </c>
      <c r="G101" s="29" t="s">
        <v>164</v>
      </c>
      <c r="H101" s="30"/>
      <c r="I101" s="36"/>
      <c r="J101" s="34"/>
      <c r="K101" s="34"/>
    </row>
    <row r="102" spans="1:11" s="20" customFormat="1" ht="39" customHeight="1" x14ac:dyDescent="0.2">
      <c r="A102" s="27">
        <v>91</v>
      </c>
      <c r="B102" s="95">
        <v>72400000</v>
      </c>
      <c r="C102" s="95" t="s">
        <v>30</v>
      </c>
      <c r="D102" s="3">
        <v>200</v>
      </c>
      <c r="E102" s="27" t="s">
        <v>32</v>
      </c>
      <c r="F102" s="29" t="s">
        <v>12</v>
      </c>
      <c r="G102" s="29" t="s">
        <v>24</v>
      </c>
      <c r="H102" s="30"/>
      <c r="I102" s="19"/>
      <c r="J102" s="34"/>
    </row>
    <row r="103" spans="1:11" s="20" customFormat="1" ht="31.5" customHeight="1" x14ac:dyDescent="0.2">
      <c r="A103" s="27">
        <v>92</v>
      </c>
      <c r="B103" s="96"/>
      <c r="C103" s="96"/>
      <c r="D103" s="3">
        <f>24100-1000</f>
        <v>23100</v>
      </c>
      <c r="E103" s="27" t="s">
        <v>32</v>
      </c>
      <c r="F103" s="29" t="s">
        <v>12</v>
      </c>
      <c r="G103" s="29" t="s">
        <v>24</v>
      </c>
      <c r="H103" s="30" t="s">
        <v>16</v>
      </c>
      <c r="I103" s="34"/>
      <c r="J103" s="34"/>
      <c r="K103" s="34"/>
    </row>
    <row r="104" spans="1:11" s="20" customFormat="1" ht="35.25" customHeight="1" x14ac:dyDescent="0.2">
      <c r="A104" s="27">
        <v>93</v>
      </c>
      <c r="B104" s="27">
        <v>76400000</v>
      </c>
      <c r="C104" s="27" t="s">
        <v>137</v>
      </c>
      <c r="D104" s="8">
        <v>9990</v>
      </c>
      <c r="E104" s="27" t="s">
        <v>10</v>
      </c>
      <c r="F104" s="29" t="s">
        <v>12</v>
      </c>
      <c r="G104" s="29" t="s">
        <v>24</v>
      </c>
      <c r="H104" s="30"/>
      <c r="I104" s="38"/>
    </row>
    <row r="105" spans="1:11" s="20" customFormat="1" ht="60" customHeight="1" x14ac:dyDescent="0.2">
      <c r="A105" s="27">
        <v>94</v>
      </c>
      <c r="B105" s="27">
        <v>77200000</v>
      </c>
      <c r="C105" s="27" t="s">
        <v>27</v>
      </c>
      <c r="D105" s="11">
        <f>12613260-1411063.87</f>
        <v>11202196.129999999</v>
      </c>
      <c r="E105" s="27" t="s">
        <v>25</v>
      </c>
      <c r="F105" s="29" t="s">
        <v>12</v>
      </c>
      <c r="G105" s="29" t="s">
        <v>24</v>
      </c>
      <c r="H105" s="30"/>
      <c r="I105" s="31"/>
    </row>
    <row r="106" spans="1:11" s="20" customFormat="1" ht="33.75" customHeight="1" x14ac:dyDescent="0.2">
      <c r="A106" s="27">
        <v>95</v>
      </c>
      <c r="B106" s="27">
        <v>77300000</v>
      </c>
      <c r="C106" s="27" t="s">
        <v>138</v>
      </c>
      <c r="D106" s="3">
        <f>3309000-127000</f>
        <v>3182000</v>
      </c>
      <c r="E106" s="27" t="s">
        <v>25</v>
      </c>
      <c r="F106" s="29" t="s">
        <v>12</v>
      </c>
      <c r="G106" s="29" t="s">
        <v>24</v>
      </c>
      <c r="H106" s="30"/>
      <c r="I106" s="31"/>
      <c r="J106" s="40"/>
    </row>
    <row r="107" spans="1:11" s="20" customFormat="1" ht="33" customHeight="1" x14ac:dyDescent="0.2">
      <c r="A107" s="27">
        <v>96</v>
      </c>
      <c r="B107" s="27">
        <v>79300000</v>
      </c>
      <c r="C107" s="27" t="s">
        <v>139</v>
      </c>
      <c r="D107" s="3">
        <f>5000+1000</f>
        <v>6000</v>
      </c>
      <c r="E107" s="27" t="s">
        <v>32</v>
      </c>
      <c r="F107" s="29" t="s">
        <v>12</v>
      </c>
      <c r="G107" s="29" t="s">
        <v>24</v>
      </c>
      <c r="H107" s="30"/>
      <c r="I107" s="34"/>
      <c r="J107" s="34"/>
    </row>
    <row r="108" spans="1:11" s="20" customFormat="1" ht="33" customHeight="1" x14ac:dyDescent="0.2">
      <c r="A108" s="27">
        <v>97</v>
      </c>
      <c r="B108" s="27">
        <v>79400000</v>
      </c>
      <c r="C108" s="27" t="s">
        <v>140</v>
      </c>
      <c r="D108" s="3">
        <v>3000</v>
      </c>
      <c r="E108" s="27" t="s">
        <v>32</v>
      </c>
      <c r="F108" s="29" t="s">
        <v>12</v>
      </c>
      <c r="G108" s="29" t="s">
        <v>24</v>
      </c>
      <c r="H108" s="30"/>
      <c r="I108" s="34"/>
      <c r="J108" s="34"/>
    </row>
    <row r="109" spans="1:11" s="20" customFormat="1" ht="30" customHeight="1" x14ac:dyDescent="0.2">
      <c r="A109" s="27">
        <v>98</v>
      </c>
      <c r="B109" s="27">
        <v>79500000</v>
      </c>
      <c r="C109" s="27" t="s">
        <v>160</v>
      </c>
      <c r="D109" s="3">
        <v>3200</v>
      </c>
      <c r="E109" s="27" t="s">
        <v>10</v>
      </c>
      <c r="F109" s="29" t="s">
        <v>166</v>
      </c>
      <c r="G109" s="29" t="s">
        <v>166</v>
      </c>
      <c r="H109" s="30"/>
      <c r="I109" s="38"/>
      <c r="J109" s="34"/>
      <c r="K109" s="40"/>
    </row>
    <row r="110" spans="1:11" s="20" customFormat="1" ht="33" customHeight="1" x14ac:dyDescent="0.2">
      <c r="A110" s="27">
        <v>99</v>
      </c>
      <c r="B110" s="27">
        <v>79800000</v>
      </c>
      <c r="C110" s="27" t="s">
        <v>141</v>
      </c>
      <c r="D110" s="3">
        <v>3000</v>
      </c>
      <c r="E110" s="27" t="s">
        <v>10</v>
      </c>
      <c r="F110" s="29" t="s">
        <v>12</v>
      </c>
      <c r="G110" s="29" t="s">
        <v>24</v>
      </c>
      <c r="H110" s="30"/>
      <c r="I110" s="38"/>
      <c r="J110" s="40"/>
    </row>
    <row r="111" spans="1:11" s="20" customFormat="1" ht="40.5" customHeight="1" x14ac:dyDescent="0.2">
      <c r="A111" s="27">
        <v>100</v>
      </c>
      <c r="B111" s="95">
        <v>79900000</v>
      </c>
      <c r="C111" s="95" t="s">
        <v>74</v>
      </c>
      <c r="D111" s="3">
        <f>5000</f>
        <v>5000</v>
      </c>
      <c r="E111" s="27" t="s">
        <v>10</v>
      </c>
      <c r="F111" s="29" t="s">
        <v>12</v>
      </c>
      <c r="G111" s="29" t="s">
        <v>24</v>
      </c>
      <c r="H111" s="30" t="s">
        <v>17</v>
      </c>
      <c r="I111" s="19"/>
    </row>
    <row r="112" spans="1:11" s="20" customFormat="1" ht="40.5" customHeight="1" x14ac:dyDescent="0.2">
      <c r="A112" s="27">
        <v>101</v>
      </c>
      <c r="B112" s="100"/>
      <c r="C112" s="100"/>
      <c r="D112" s="3">
        <v>20000</v>
      </c>
      <c r="E112" s="27" t="s">
        <v>10</v>
      </c>
      <c r="F112" s="29" t="s">
        <v>12</v>
      </c>
      <c r="G112" s="29" t="s">
        <v>24</v>
      </c>
      <c r="H112" s="30" t="s">
        <v>59</v>
      </c>
      <c r="I112" s="19"/>
    </row>
    <row r="113" spans="1:13" s="20" customFormat="1" ht="40.5" customHeight="1" x14ac:dyDescent="0.2">
      <c r="A113" s="27">
        <v>102</v>
      </c>
      <c r="B113" s="96"/>
      <c r="C113" s="96"/>
      <c r="D113" s="3">
        <f>9900+88</f>
        <v>9988</v>
      </c>
      <c r="E113" s="27" t="s">
        <v>10</v>
      </c>
      <c r="F113" s="29" t="s">
        <v>12</v>
      </c>
      <c r="G113" s="29" t="s">
        <v>24</v>
      </c>
      <c r="H113" s="30"/>
      <c r="I113" s="19"/>
    </row>
    <row r="114" spans="1:13" s="20" customFormat="1" ht="30" customHeight="1" x14ac:dyDescent="0.2">
      <c r="A114" s="27">
        <v>103</v>
      </c>
      <c r="B114" s="27">
        <v>90400000</v>
      </c>
      <c r="C114" s="27" t="s">
        <v>142</v>
      </c>
      <c r="D114" s="3">
        <f>1000+3000</f>
        <v>4000</v>
      </c>
      <c r="E114" s="27" t="s">
        <v>10</v>
      </c>
      <c r="F114" s="29" t="s">
        <v>12</v>
      </c>
      <c r="G114" s="29" t="s">
        <v>24</v>
      </c>
      <c r="H114" s="30"/>
      <c r="I114" s="19"/>
    </row>
    <row r="115" spans="1:13" s="20" customFormat="1" ht="29.25" customHeight="1" x14ac:dyDescent="0.2">
      <c r="A115" s="27">
        <v>104</v>
      </c>
      <c r="B115" s="27">
        <v>90900000</v>
      </c>
      <c r="C115" s="27" t="s">
        <v>52</v>
      </c>
      <c r="D115" s="3">
        <f>100000-67826</f>
        <v>32174</v>
      </c>
      <c r="E115" s="27" t="s">
        <v>25</v>
      </c>
      <c r="F115" s="29" t="s">
        <v>12</v>
      </c>
      <c r="G115" s="29" t="s">
        <v>24</v>
      </c>
      <c r="H115" s="30"/>
      <c r="I115" s="34"/>
      <c r="J115" s="34"/>
      <c r="K115" s="40"/>
      <c r="M115" s="23"/>
    </row>
    <row r="116" spans="1:13" s="20" customFormat="1" ht="35.25" customHeight="1" x14ac:dyDescent="0.2">
      <c r="A116" s="27">
        <v>105</v>
      </c>
      <c r="B116" s="27">
        <v>92100000</v>
      </c>
      <c r="C116" s="27" t="s">
        <v>169</v>
      </c>
      <c r="D116" s="3">
        <f>7901+2089</f>
        <v>9990</v>
      </c>
      <c r="E116" s="27" t="s">
        <v>10</v>
      </c>
      <c r="F116" s="29" t="s">
        <v>163</v>
      </c>
      <c r="G116" s="29" t="s">
        <v>164</v>
      </c>
      <c r="H116" s="30"/>
      <c r="I116" s="38"/>
    </row>
    <row r="117" spans="1:13" s="20" customFormat="1" ht="36" customHeight="1" x14ac:dyDescent="0.2">
      <c r="A117" s="27">
        <v>106</v>
      </c>
      <c r="B117" s="95">
        <v>92200000</v>
      </c>
      <c r="C117" s="95" t="s">
        <v>31</v>
      </c>
      <c r="D117" s="3">
        <v>110200</v>
      </c>
      <c r="E117" s="27" t="s">
        <v>14</v>
      </c>
      <c r="F117" s="29" t="s">
        <v>166</v>
      </c>
      <c r="G117" s="29" t="s">
        <v>166</v>
      </c>
      <c r="H117" s="30" t="s">
        <v>13</v>
      </c>
      <c r="I117" s="38"/>
      <c r="J117" s="38"/>
      <c r="K117" s="40"/>
    </row>
    <row r="118" spans="1:13" s="20" customFormat="1" ht="36" customHeight="1" x14ac:dyDescent="0.2">
      <c r="A118" s="27">
        <v>107</v>
      </c>
      <c r="B118" s="96"/>
      <c r="C118" s="96"/>
      <c r="D118" s="3">
        <v>4000</v>
      </c>
      <c r="E118" s="27" t="s">
        <v>10</v>
      </c>
      <c r="F118" s="29" t="s">
        <v>166</v>
      </c>
      <c r="G118" s="29" t="s">
        <v>166</v>
      </c>
      <c r="H118" s="30"/>
      <c r="I118" s="38"/>
      <c r="J118" s="38"/>
      <c r="K118" s="40"/>
    </row>
    <row r="119" spans="1:13" s="20" customFormat="1" ht="37.5" customHeight="1" x14ac:dyDescent="0.2">
      <c r="A119" s="27">
        <v>108</v>
      </c>
      <c r="B119" s="27">
        <v>92500000</v>
      </c>
      <c r="C119" s="27" t="s">
        <v>37</v>
      </c>
      <c r="D119" s="3">
        <v>50000</v>
      </c>
      <c r="E119" s="27" t="s">
        <v>10</v>
      </c>
      <c r="F119" s="29" t="s">
        <v>12</v>
      </c>
      <c r="G119" s="29" t="s">
        <v>24</v>
      </c>
      <c r="H119" s="30" t="s">
        <v>17</v>
      </c>
      <c r="I119" s="37"/>
      <c r="J119" s="40"/>
    </row>
    <row r="120" spans="1:13" s="20" customFormat="1" ht="30" customHeight="1" x14ac:dyDescent="0.2">
      <c r="A120" s="27">
        <v>109</v>
      </c>
      <c r="B120" s="27">
        <v>98300000</v>
      </c>
      <c r="C120" s="27" t="s">
        <v>143</v>
      </c>
      <c r="D120" s="3">
        <v>4000</v>
      </c>
      <c r="E120" s="27" t="s">
        <v>10</v>
      </c>
      <c r="F120" s="29" t="s">
        <v>12</v>
      </c>
      <c r="G120" s="29" t="s">
        <v>24</v>
      </c>
      <c r="H120" s="30"/>
      <c r="I120" s="19"/>
    </row>
    <row r="121" spans="1:13" s="20" customFormat="1" ht="15.75" x14ac:dyDescent="0.2">
      <c r="A121" s="19"/>
      <c r="B121" s="19"/>
      <c r="C121" s="49"/>
      <c r="D121" s="50"/>
      <c r="E121" s="25"/>
      <c r="F121" s="51"/>
      <c r="G121" s="25"/>
      <c r="I121" s="19"/>
    </row>
    <row r="122" spans="1:13" ht="15.75" customHeight="1" x14ac:dyDescent="0.2">
      <c r="C122" s="49"/>
      <c r="D122" s="52"/>
      <c r="F122" s="25"/>
    </row>
    <row r="123" spans="1:13" ht="17.25" customHeight="1" x14ac:dyDescent="0.2">
      <c r="A123" s="20"/>
      <c r="B123" s="53"/>
      <c r="C123" s="25"/>
      <c r="D123" s="54"/>
      <c r="E123" s="19"/>
      <c r="F123" s="19"/>
      <c r="G123" s="19"/>
      <c r="H123" s="40"/>
      <c r="I123" s="55"/>
    </row>
    <row r="124" spans="1:13" ht="27.75" customHeight="1" x14ac:dyDescent="0.2">
      <c r="A124" s="20"/>
      <c r="B124" s="102" t="s">
        <v>144</v>
      </c>
      <c r="C124" s="102"/>
    </row>
    <row r="125" spans="1:13" ht="13.5" customHeight="1" x14ac:dyDescent="0.2">
      <c r="A125" s="20"/>
      <c r="B125" s="20"/>
      <c r="D125" s="2"/>
      <c r="E125" s="101" t="s">
        <v>9</v>
      </c>
      <c r="F125" s="101"/>
    </row>
    <row r="126" spans="1:13" ht="20.25" customHeight="1" x14ac:dyDescent="0.2">
      <c r="A126" s="20"/>
      <c r="B126" s="20"/>
    </row>
    <row r="127" spans="1:13" x14ac:dyDescent="0.2">
      <c r="B127" s="20"/>
      <c r="I127" s="57"/>
    </row>
    <row r="128" spans="1:13" x14ac:dyDescent="0.2">
      <c r="A128" s="20"/>
      <c r="B128" s="107"/>
      <c r="C128" s="107"/>
      <c r="D128" s="58"/>
    </row>
    <row r="129" spans="1:14" ht="13.5" customHeight="1" x14ac:dyDescent="0.2">
      <c r="A129" s="20"/>
      <c r="B129" s="102" t="s">
        <v>20</v>
      </c>
      <c r="C129" s="102"/>
      <c r="D129" s="59"/>
    </row>
    <row r="130" spans="1:14" x14ac:dyDescent="0.2">
      <c r="A130" s="20"/>
      <c r="B130" s="20"/>
      <c r="E130" s="101" t="s">
        <v>9</v>
      </c>
      <c r="F130" s="101"/>
    </row>
    <row r="131" spans="1:14" ht="16.5" customHeight="1" x14ac:dyDescent="0.2">
      <c r="A131" s="20"/>
      <c r="B131" s="20"/>
    </row>
    <row r="132" spans="1:14" x14ac:dyDescent="0.2">
      <c r="A132" s="20"/>
    </row>
    <row r="136" spans="1:14" x14ac:dyDescent="0.2">
      <c r="B136" s="107"/>
      <c r="C136" s="107"/>
      <c r="D136" s="58"/>
    </row>
    <row r="142" spans="1:14" x14ac:dyDescent="0.2">
      <c r="M142" s="60"/>
      <c r="N142" s="60"/>
    </row>
    <row r="143" spans="1:14" x14ac:dyDescent="0.2">
      <c r="C143" s="61"/>
      <c r="M143" s="60"/>
      <c r="N143" s="60"/>
    </row>
    <row r="144" spans="1:14" x14ac:dyDescent="0.2">
      <c r="C144" s="61"/>
      <c r="E144" s="61"/>
      <c r="M144" s="60"/>
      <c r="N144" s="60"/>
    </row>
    <row r="145" spans="3:14" ht="19.5" customHeight="1" x14ac:dyDescent="0.2">
      <c r="C145" s="61"/>
      <c r="M145" s="60"/>
      <c r="N145" s="60"/>
    </row>
    <row r="146" spans="3:14" x14ac:dyDescent="0.2">
      <c r="M146" s="60"/>
      <c r="N146" s="60"/>
    </row>
    <row r="147" spans="3:14" ht="24.75" customHeight="1" x14ac:dyDescent="0.2">
      <c r="C147" s="25"/>
      <c r="M147" s="60"/>
      <c r="N147" s="60"/>
    </row>
    <row r="148" spans="3:14" ht="22.5" customHeight="1" x14ac:dyDescent="0.2">
      <c r="M148" s="60"/>
      <c r="N148" s="60"/>
    </row>
    <row r="149" spans="3:14" x14ac:dyDescent="0.2">
      <c r="C149" s="57"/>
      <c r="M149" s="60"/>
      <c r="N149" s="60"/>
    </row>
  </sheetData>
  <sheetProtection algorithmName="SHA-512" hashValue="6B5Oi6OGyn9ZA/Q5A6NmhfwL6M/duocftBpJkDN5Kt9ZBgLNZJCuA4usuvfNKWU1oDY7/5lp/YnuTS3yuKN9PA==" saltValue="UHvNJJjpbQoNtkcUpjmdRw==" spinCount="100000" sheet="1" objects="1" scenarios="1"/>
  <mergeCells count="47">
    <mergeCell ref="B129:C129"/>
    <mergeCell ref="E130:F130"/>
    <mergeCell ref="B136:C136"/>
    <mergeCell ref="B117:B118"/>
    <mergeCell ref="C117:C118"/>
    <mergeCell ref="B124:C124"/>
    <mergeCell ref="E125:F125"/>
    <mergeCell ref="B128:C128"/>
    <mergeCell ref="B111:B113"/>
    <mergeCell ref="C111:C113"/>
    <mergeCell ref="B85:B87"/>
    <mergeCell ref="C85:C87"/>
    <mergeCell ref="B90:B91"/>
    <mergeCell ref="C90:C91"/>
    <mergeCell ref="B94:B95"/>
    <mergeCell ref="C94:C95"/>
    <mergeCell ref="B98:B99"/>
    <mergeCell ref="C98:C99"/>
    <mergeCell ref="B102:B103"/>
    <mergeCell ref="C102:C103"/>
    <mergeCell ref="B81:B82"/>
    <mergeCell ref="C81:C82"/>
    <mergeCell ref="B54:B55"/>
    <mergeCell ref="C54:C55"/>
    <mergeCell ref="B35:B36"/>
    <mergeCell ref="C35:C36"/>
    <mergeCell ref="B37:B38"/>
    <mergeCell ref="C37:C38"/>
    <mergeCell ref="B58:B59"/>
    <mergeCell ref="C58:C59"/>
    <mergeCell ref="B62:B63"/>
    <mergeCell ref="C62:C63"/>
    <mergeCell ref="B70:B71"/>
    <mergeCell ref="C70:C71"/>
    <mergeCell ref="A8:H8"/>
    <mergeCell ref="A9:H9"/>
    <mergeCell ref="B13:B14"/>
    <mergeCell ref="C13:C14"/>
    <mergeCell ref="B23:B24"/>
    <mergeCell ref="C23:C24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45" orientation="portrait" r:id="rId1"/>
  <rowBreaks count="1" manualBreakCount="1">
    <brk id="83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4CE4C-3A11-4614-BE57-18AE03C263DE}">
  <dimension ref="A2:O35"/>
  <sheetViews>
    <sheetView view="pageBreakPreview" zoomScale="120" zoomScaleNormal="130" zoomScaleSheetLayoutView="120" workbookViewId="0">
      <selection activeCell="E10" sqref="E10"/>
    </sheetView>
  </sheetViews>
  <sheetFormatPr defaultRowHeight="13.5" x14ac:dyDescent="0.2"/>
  <cols>
    <col min="1" max="1" width="3.85546875" style="35" customWidth="1"/>
    <col min="2" max="2" width="10" style="56" customWidth="1"/>
    <col min="3" max="3" width="53.7109375" style="20" customWidth="1"/>
    <col min="4" max="4" width="11.5703125" style="14" customWidth="1"/>
    <col min="5" max="5" width="10.42578125" style="20" customWidth="1"/>
    <col min="6" max="6" width="11.85546875" style="20" customWidth="1"/>
    <col min="7" max="7" width="12.42578125" style="20" customWidth="1"/>
    <col min="8" max="8" width="32" style="20" customWidth="1"/>
    <col min="9" max="12" width="8.28515625" style="56" customWidth="1"/>
    <col min="13" max="16384" width="9.140625" style="20"/>
  </cols>
  <sheetData>
    <row r="2" spans="1:12" x14ac:dyDescent="0.2">
      <c r="B2" s="20"/>
      <c r="H2" s="22" t="s">
        <v>145</v>
      </c>
    </row>
    <row r="3" spans="1:12" x14ac:dyDescent="0.2">
      <c r="B3" s="20"/>
      <c r="C3" s="77" t="s">
        <v>146</v>
      </c>
      <c r="D3" s="77"/>
      <c r="E3" s="77"/>
      <c r="F3" s="77"/>
      <c r="G3" s="77"/>
    </row>
    <row r="4" spans="1:12" x14ac:dyDescent="0.2">
      <c r="A4" s="78" t="s">
        <v>147</v>
      </c>
      <c r="B4" s="79"/>
      <c r="C4" s="79"/>
      <c r="D4" s="79"/>
      <c r="E4" s="80"/>
      <c r="F4" s="84" t="s">
        <v>7</v>
      </c>
      <c r="G4" s="85"/>
      <c r="H4" s="86"/>
    </row>
    <row r="5" spans="1:12" x14ac:dyDescent="0.2">
      <c r="A5" s="81"/>
      <c r="B5" s="82"/>
      <c r="C5" s="82"/>
      <c r="D5" s="82"/>
      <c r="E5" s="83"/>
      <c r="F5" s="87">
        <v>204578581</v>
      </c>
      <c r="G5" s="88"/>
      <c r="H5" s="89"/>
    </row>
    <row r="6" spans="1:12" x14ac:dyDescent="0.2">
      <c r="A6" s="78" t="s">
        <v>8</v>
      </c>
      <c r="B6" s="79"/>
      <c r="C6" s="79"/>
      <c r="D6" s="79"/>
      <c r="E6" s="80"/>
      <c r="F6" s="78" t="s">
        <v>148</v>
      </c>
      <c r="G6" s="90"/>
      <c r="H6" s="91"/>
      <c r="I6" s="76"/>
      <c r="J6" s="76"/>
      <c r="K6" s="76"/>
      <c r="L6" s="76"/>
    </row>
    <row r="7" spans="1:12" x14ac:dyDescent="0.2">
      <c r="A7" s="87" t="s">
        <v>21</v>
      </c>
      <c r="B7" s="88"/>
      <c r="C7" s="88"/>
      <c r="D7" s="88"/>
      <c r="E7" s="89"/>
      <c r="F7" s="92"/>
      <c r="G7" s="93"/>
      <c r="H7" s="94"/>
    </row>
    <row r="8" spans="1:12" x14ac:dyDescent="0.2">
      <c r="A8" s="78" t="s">
        <v>15</v>
      </c>
      <c r="B8" s="79"/>
      <c r="C8" s="79"/>
      <c r="D8" s="79"/>
      <c r="E8" s="79"/>
      <c r="F8" s="79"/>
      <c r="G8" s="79"/>
      <c r="H8" s="80"/>
    </row>
    <row r="9" spans="1:12" s="56" customFormat="1" x14ac:dyDescent="0.2">
      <c r="A9" s="108">
        <f>SUM(D12:D15)</f>
        <v>51550</v>
      </c>
      <c r="B9" s="109"/>
      <c r="C9" s="109"/>
      <c r="D9" s="109"/>
      <c r="E9" s="109"/>
      <c r="F9" s="109"/>
      <c r="G9" s="109"/>
      <c r="H9" s="109"/>
    </row>
    <row r="10" spans="1:12" s="56" customFormat="1" ht="63.75" x14ac:dyDescent="0.2">
      <c r="A10" s="41" t="s">
        <v>1</v>
      </c>
      <c r="B10" s="41" t="s">
        <v>2</v>
      </c>
      <c r="C10" s="41" t="s">
        <v>3</v>
      </c>
      <c r="D10" s="15" t="s">
        <v>38</v>
      </c>
      <c r="E10" s="41" t="s">
        <v>4</v>
      </c>
      <c r="F10" s="41" t="s">
        <v>5</v>
      </c>
      <c r="G10" s="41" t="s">
        <v>6</v>
      </c>
      <c r="H10" s="41" t="s">
        <v>0</v>
      </c>
    </row>
    <row r="11" spans="1:12" s="56" customFormat="1" ht="12.75" x14ac:dyDescent="0.2">
      <c r="A11" s="41">
        <v>1</v>
      </c>
      <c r="B11" s="41">
        <v>2</v>
      </c>
      <c r="C11" s="41">
        <v>3</v>
      </c>
      <c r="D11" s="3">
        <v>4</v>
      </c>
      <c r="E11" s="41">
        <v>5</v>
      </c>
      <c r="F11" s="41">
        <v>6</v>
      </c>
      <c r="G11" s="41">
        <v>7</v>
      </c>
      <c r="H11" s="41">
        <v>8</v>
      </c>
    </row>
    <row r="12" spans="1:12" x14ac:dyDescent="0.2">
      <c r="A12" s="41">
        <v>1</v>
      </c>
      <c r="B12" s="29" t="s">
        <v>34</v>
      </c>
      <c r="C12" s="41" t="s">
        <v>35</v>
      </c>
      <c r="D12" s="3">
        <f>15000+1960</f>
        <v>16960</v>
      </c>
      <c r="E12" s="41" t="s">
        <v>14</v>
      </c>
      <c r="F12" s="29" t="s">
        <v>12</v>
      </c>
      <c r="G12" s="29" t="s">
        <v>24</v>
      </c>
      <c r="H12" s="30" t="s">
        <v>13</v>
      </c>
      <c r="I12" s="33"/>
    </row>
    <row r="13" spans="1:12" x14ac:dyDescent="0.2">
      <c r="A13" s="41">
        <v>2</v>
      </c>
      <c r="B13" s="41" t="s">
        <v>48</v>
      </c>
      <c r="C13" s="41" t="s">
        <v>49</v>
      </c>
      <c r="D13" s="3">
        <v>1000</v>
      </c>
      <c r="E13" s="41" t="s">
        <v>10</v>
      </c>
      <c r="F13" s="29" t="s">
        <v>12</v>
      </c>
      <c r="G13" s="29" t="s">
        <v>24</v>
      </c>
      <c r="H13" s="30"/>
      <c r="I13" s="34"/>
    </row>
    <row r="14" spans="1:12" x14ac:dyDescent="0.2">
      <c r="A14" s="41">
        <v>3</v>
      </c>
      <c r="B14" s="41">
        <v>42600000</v>
      </c>
      <c r="C14" s="41" t="s">
        <v>131</v>
      </c>
      <c r="D14" s="3">
        <f>3000-1960</f>
        <v>1040</v>
      </c>
      <c r="E14" s="41" t="s">
        <v>10</v>
      </c>
      <c r="F14" s="29" t="s">
        <v>12</v>
      </c>
      <c r="G14" s="29" t="s">
        <v>24</v>
      </c>
      <c r="H14" s="30"/>
      <c r="I14" s="33"/>
    </row>
    <row r="15" spans="1:12" ht="25.5" x14ac:dyDescent="0.2">
      <c r="A15" s="41">
        <v>4</v>
      </c>
      <c r="B15" s="41">
        <v>45200000</v>
      </c>
      <c r="C15" s="41" t="s">
        <v>64</v>
      </c>
      <c r="D15" s="8">
        <f>24850+7700</f>
        <v>32550</v>
      </c>
      <c r="E15" s="41" t="s">
        <v>25</v>
      </c>
      <c r="F15" s="29" t="s">
        <v>12</v>
      </c>
      <c r="G15" s="29" t="s">
        <v>24</v>
      </c>
      <c r="H15" s="30"/>
      <c r="I15" s="36"/>
    </row>
    <row r="16" spans="1:12" x14ac:dyDescent="0.2">
      <c r="D16" s="16"/>
    </row>
    <row r="17" spans="2:15" x14ac:dyDescent="0.2">
      <c r="B17" s="102" t="s">
        <v>149</v>
      </c>
      <c r="C17" s="102"/>
    </row>
    <row r="18" spans="2:15" x14ac:dyDescent="0.2">
      <c r="B18" s="20"/>
      <c r="D18" s="17"/>
      <c r="E18" s="101" t="s">
        <v>9</v>
      </c>
      <c r="F18" s="101"/>
    </row>
    <row r="19" spans="2:15" x14ac:dyDescent="0.2">
      <c r="B19" s="20"/>
    </row>
    <row r="20" spans="2:15" x14ac:dyDescent="0.2">
      <c r="B20" s="20"/>
    </row>
    <row r="21" spans="2:15" x14ac:dyDescent="0.2">
      <c r="B21" s="107"/>
      <c r="C21" s="107"/>
      <c r="D21" s="107"/>
    </row>
    <row r="22" spans="2:15" x14ac:dyDescent="0.2">
      <c r="B22" s="102" t="s">
        <v>20</v>
      </c>
      <c r="C22" s="102"/>
      <c r="D22" s="102"/>
    </row>
    <row r="23" spans="2:15" x14ac:dyDescent="0.2">
      <c r="B23" s="20"/>
      <c r="E23" s="101" t="s">
        <v>9</v>
      </c>
      <c r="F23" s="101"/>
    </row>
    <row r="28" spans="2:15" x14ac:dyDescent="0.2">
      <c r="N28" s="40"/>
      <c r="O28" s="40"/>
    </row>
    <row r="29" spans="2:15" x14ac:dyDescent="0.2">
      <c r="C29" s="51"/>
      <c r="N29" s="40"/>
      <c r="O29" s="40"/>
    </row>
    <row r="30" spans="2:15" x14ac:dyDescent="0.2">
      <c r="C30" s="74"/>
      <c r="E30" s="61"/>
      <c r="N30" s="40"/>
      <c r="O30" s="40"/>
    </row>
    <row r="31" spans="2:15" x14ac:dyDescent="0.2">
      <c r="C31" s="75"/>
      <c r="N31" s="40"/>
      <c r="O31" s="40"/>
    </row>
    <row r="32" spans="2:15" x14ac:dyDescent="0.2">
      <c r="N32" s="40"/>
      <c r="O32" s="40"/>
    </row>
    <row r="33" spans="3:15" x14ac:dyDescent="0.2">
      <c r="C33" s="25"/>
      <c r="N33" s="40"/>
      <c r="O33" s="40"/>
    </row>
    <row r="34" spans="3:15" x14ac:dyDescent="0.2">
      <c r="N34" s="40"/>
      <c r="O34" s="40"/>
    </row>
    <row r="35" spans="3:15" x14ac:dyDescent="0.2">
      <c r="C35" s="57"/>
      <c r="N35" s="40"/>
      <c r="O35" s="40"/>
    </row>
  </sheetData>
  <sheetProtection algorithmName="SHA-512" hashValue="iQgcxdhx/+A9sAnIY67vt/5Z256Lbw61nkQQzOBcIj6FIFbTCYrOCg5caQwJ6THNJGXyfwGxo4dRDfiZiZCKaw==" saltValue="BagWBG9Nc3U7gs5staDuNg==" spinCount="100000" sheet="1" objects="1" scenarios="1"/>
  <mergeCells count="14">
    <mergeCell ref="E23:F23"/>
    <mergeCell ref="A8:H8"/>
    <mergeCell ref="A9:H9"/>
    <mergeCell ref="B17:C17"/>
    <mergeCell ref="E18:F18"/>
    <mergeCell ref="B21:D21"/>
    <mergeCell ref="B22:D22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F419-15C9-41B2-97B1-89D1DD494FC2}">
  <dimension ref="A1:H58"/>
  <sheetViews>
    <sheetView view="pageBreakPreview" topLeftCell="A34" zoomScale="115" zoomScaleNormal="115" zoomScaleSheetLayoutView="115" workbookViewId="0">
      <selection activeCell="E40" sqref="E40"/>
    </sheetView>
  </sheetViews>
  <sheetFormatPr defaultRowHeight="13.5" x14ac:dyDescent="0.2"/>
  <cols>
    <col min="1" max="1" width="3.85546875" style="35" customWidth="1"/>
    <col min="2" max="2" width="10" style="19" customWidth="1"/>
    <col min="3" max="3" width="53.7109375" style="20" customWidth="1"/>
    <col min="4" max="4" width="13.5703125" style="1" bestFit="1" customWidth="1"/>
    <col min="5" max="5" width="10.42578125" style="20" customWidth="1"/>
    <col min="6" max="6" width="11.85546875" style="20" customWidth="1"/>
    <col min="7" max="7" width="10.7109375" style="20" customWidth="1"/>
    <col min="8" max="8" width="30.140625" style="20" customWidth="1"/>
    <col min="9" max="16384" width="9.140625" style="20"/>
  </cols>
  <sheetData>
    <row r="1" spans="1:8" ht="18" customHeight="1" x14ac:dyDescent="0.2"/>
    <row r="2" spans="1:8" ht="13.5" customHeight="1" x14ac:dyDescent="0.2">
      <c r="B2" s="20"/>
      <c r="H2" s="22" t="s">
        <v>150</v>
      </c>
    </row>
    <row r="3" spans="1:8" ht="20.25" customHeight="1" x14ac:dyDescent="0.2">
      <c r="B3" s="20"/>
      <c r="C3" s="77" t="s">
        <v>146</v>
      </c>
      <c r="D3" s="77"/>
      <c r="E3" s="77"/>
      <c r="F3" s="77"/>
      <c r="G3" s="77"/>
    </row>
    <row r="4" spans="1:8" ht="26.25" customHeight="1" x14ac:dyDescent="0.2">
      <c r="A4" s="78" t="s">
        <v>171</v>
      </c>
      <c r="B4" s="79"/>
      <c r="C4" s="79"/>
      <c r="D4" s="79"/>
      <c r="E4" s="80"/>
      <c r="F4" s="84" t="s">
        <v>7</v>
      </c>
      <c r="G4" s="85"/>
      <c r="H4" s="86"/>
    </row>
    <row r="5" spans="1:8" ht="18.75" customHeight="1" x14ac:dyDescent="0.2">
      <c r="A5" s="81"/>
      <c r="B5" s="82"/>
      <c r="C5" s="82"/>
      <c r="D5" s="82"/>
      <c r="E5" s="83"/>
      <c r="F5" s="87">
        <v>204578581</v>
      </c>
      <c r="G5" s="88"/>
      <c r="H5" s="89"/>
    </row>
    <row r="6" spans="1:8" ht="25.5" customHeight="1" x14ac:dyDescent="0.2">
      <c r="A6" s="78" t="s">
        <v>8</v>
      </c>
      <c r="B6" s="79"/>
      <c r="C6" s="79"/>
      <c r="D6" s="79"/>
      <c r="E6" s="80"/>
      <c r="F6" s="78" t="s">
        <v>151</v>
      </c>
      <c r="G6" s="90"/>
      <c r="H6" s="91"/>
    </row>
    <row r="7" spans="1:8" ht="43.5" customHeight="1" x14ac:dyDescent="0.2">
      <c r="A7" s="87" t="s">
        <v>152</v>
      </c>
      <c r="B7" s="88"/>
      <c r="C7" s="88"/>
      <c r="D7" s="88"/>
      <c r="E7" s="89"/>
      <c r="F7" s="92"/>
      <c r="G7" s="93"/>
      <c r="H7" s="94"/>
    </row>
    <row r="8" spans="1:8" ht="21" customHeight="1" x14ac:dyDescent="0.2">
      <c r="A8" s="78" t="s">
        <v>15</v>
      </c>
      <c r="B8" s="79"/>
      <c r="C8" s="79"/>
      <c r="D8" s="79"/>
      <c r="E8" s="79"/>
      <c r="F8" s="79"/>
      <c r="G8" s="79"/>
      <c r="H8" s="80"/>
    </row>
    <row r="9" spans="1:8" s="19" customFormat="1" ht="15.75" customHeight="1" x14ac:dyDescent="0.2">
      <c r="A9" s="108">
        <f>2303880-413000</f>
        <v>1890880</v>
      </c>
      <c r="B9" s="109"/>
      <c r="C9" s="109"/>
      <c r="D9" s="109"/>
      <c r="E9" s="109"/>
      <c r="F9" s="109"/>
      <c r="G9" s="109"/>
      <c r="H9" s="109"/>
    </row>
    <row r="10" spans="1:8" s="19" customFormat="1" ht="71.25" customHeight="1" x14ac:dyDescent="0.2">
      <c r="A10" s="27" t="s">
        <v>1</v>
      </c>
      <c r="B10" s="27" t="s">
        <v>2</v>
      </c>
      <c r="C10" s="27" t="s">
        <v>3</v>
      </c>
      <c r="D10" s="4" t="s">
        <v>38</v>
      </c>
      <c r="E10" s="27" t="s">
        <v>4</v>
      </c>
      <c r="F10" s="27" t="s">
        <v>5</v>
      </c>
      <c r="G10" s="27" t="s">
        <v>6</v>
      </c>
      <c r="H10" s="27" t="s">
        <v>0</v>
      </c>
    </row>
    <row r="11" spans="1:8" s="19" customFormat="1" ht="15" customHeight="1" x14ac:dyDescent="0.2">
      <c r="A11" s="27">
        <v>1</v>
      </c>
      <c r="B11" s="27">
        <v>2</v>
      </c>
      <c r="C11" s="27">
        <v>3</v>
      </c>
      <c r="D11" s="3">
        <v>4</v>
      </c>
      <c r="E11" s="27">
        <v>5</v>
      </c>
      <c r="F11" s="27">
        <v>6</v>
      </c>
      <c r="G11" s="27">
        <v>7</v>
      </c>
      <c r="H11" s="27">
        <v>8</v>
      </c>
    </row>
    <row r="12" spans="1:8" ht="27" customHeight="1" x14ac:dyDescent="0.2">
      <c r="A12" s="27">
        <v>1</v>
      </c>
      <c r="B12" s="27">
        <v>18400000</v>
      </c>
      <c r="C12" s="27" t="s">
        <v>65</v>
      </c>
      <c r="D12" s="3">
        <v>2600</v>
      </c>
      <c r="E12" s="27" t="s">
        <v>10</v>
      </c>
      <c r="F12" s="29" t="s">
        <v>163</v>
      </c>
      <c r="G12" s="29" t="s">
        <v>164</v>
      </c>
      <c r="H12" s="30"/>
    </row>
    <row r="13" spans="1:8" ht="25.5" customHeight="1" x14ac:dyDescent="0.2">
      <c r="A13" s="27">
        <v>2</v>
      </c>
      <c r="B13" s="27">
        <v>18800000</v>
      </c>
      <c r="C13" s="27" t="s">
        <v>99</v>
      </c>
      <c r="D13" s="3">
        <v>5950</v>
      </c>
      <c r="E13" s="27" t="s">
        <v>10</v>
      </c>
      <c r="F13" s="29" t="s">
        <v>163</v>
      </c>
      <c r="G13" s="29" t="s">
        <v>164</v>
      </c>
      <c r="H13" s="30"/>
    </row>
    <row r="14" spans="1:8" ht="33" customHeight="1" x14ac:dyDescent="0.2">
      <c r="A14" s="27">
        <v>3</v>
      </c>
      <c r="B14" s="27">
        <v>22100000</v>
      </c>
      <c r="C14" s="27" t="s">
        <v>115</v>
      </c>
      <c r="D14" s="3">
        <v>20600</v>
      </c>
      <c r="E14" s="27" t="s">
        <v>25</v>
      </c>
      <c r="F14" s="29" t="s">
        <v>163</v>
      </c>
      <c r="G14" s="29" t="s">
        <v>164</v>
      </c>
      <c r="H14" s="30"/>
    </row>
    <row r="15" spans="1:8" ht="26.25" customHeight="1" x14ac:dyDescent="0.2">
      <c r="A15" s="27">
        <v>4</v>
      </c>
      <c r="B15" s="27">
        <v>30200000</v>
      </c>
      <c r="C15" s="27" t="s">
        <v>101</v>
      </c>
      <c r="D15" s="43">
        <f>61000-61000</f>
        <v>0</v>
      </c>
      <c r="E15" s="27" t="s">
        <v>25</v>
      </c>
      <c r="F15" s="29" t="s">
        <v>12</v>
      </c>
      <c r="G15" s="29" t="s">
        <v>24</v>
      </c>
      <c r="H15" s="30"/>
    </row>
    <row r="16" spans="1:8" ht="31.5" customHeight="1" x14ac:dyDescent="0.2">
      <c r="A16" s="27">
        <v>5</v>
      </c>
      <c r="B16" s="27">
        <v>31100000</v>
      </c>
      <c r="C16" s="27" t="s">
        <v>76</v>
      </c>
      <c r="D16" s="3">
        <v>2000</v>
      </c>
      <c r="E16" s="27" t="s">
        <v>10</v>
      </c>
      <c r="F16" s="29" t="s">
        <v>163</v>
      </c>
      <c r="G16" s="29" t="s">
        <v>164</v>
      </c>
      <c r="H16" s="30"/>
    </row>
    <row r="17" spans="1:8" ht="33.75" customHeight="1" x14ac:dyDescent="0.2">
      <c r="A17" s="27">
        <v>6</v>
      </c>
      <c r="B17" s="27">
        <v>33100000</v>
      </c>
      <c r="C17" s="27" t="s">
        <v>120</v>
      </c>
      <c r="D17" s="11">
        <f>8051-698.95</f>
        <v>7352.05</v>
      </c>
      <c r="E17" s="27" t="s">
        <v>10</v>
      </c>
      <c r="F17" s="29" t="s">
        <v>163</v>
      </c>
      <c r="G17" s="29" t="s">
        <v>164</v>
      </c>
      <c r="H17" s="44"/>
    </row>
    <row r="18" spans="1:8" ht="33" customHeight="1" x14ac:dyDescent="0.2">
      <c r="A18" s="27">
        <v>7</v>
      </c>
      <c r="B18" s="27">
        <v>35100000</v>
      </c>
      <c r="C18" s="27" t="s">
        <v>68</v>
      </c>
      <c r="D18" s="3">
        <v>9999</v>
      </c>
      <c r="E18" s="27" t="s">
        <v>10</v>
      </c>
      <c r="F18" s="29" t="s">
        <v>163</v>
      </c>
      <c r="G18" s="29" t="s">
        <v>164</v>
      </c>
      <c r="H18" s="27"/>
    </row>
    <row r="19" spans="1:8" ht="35.25" customHeight="1" x14ac:dyDescent="0.2">
      <c r="A19" s="27">
        <v>8</v>
      </c>
      <c r="B19" s="27">
        <v>42100000</v>
      </c>
      <c r="C19" s="27" t="s">
        <v>92</v>
      </c>
      <c r="D19" s="8">
        <f>9000-9000</f>
        <v>0</v>
      </c>
      <c r="E19" s="27" t="s">
        <v>10</v>
      </c>
      <c r="F19" s="29" t="s">
        <v>163</v>
      </c>
      <c r="G19" s="29" t="s">
        <v>164</v>
      </c>
      <c r="H19" s="30"/>
    </row>
    <row r="20" spans="1:8" ht="35.25" customHeight="1" x14ac:dyDescent="0.2">
      <c r="A20" s="27">
        <v>9</v>
      </c>
      <c r="B20" s="27">
        <v>42400000</v>
      </c>
      <c r="C20" s="27" t="s">
        <v>130</v>
      </c>
      <c r="D20" s="3">
        <v>2000</v>
      </c>
      <c r="E20" s="27" t="s">
        <v>10</v>
      </c>
      <c r="F20" s="29" t="s">
        <v>163</v>
      </c>
      <c r="G20" s="29" t="s">
        <v>164</v>
      </c>
      <c r="H20" s="30"/>
    </row>
    <row r="21" spans="1:8" ht="34.5" customHeight="1" x14ac:dyDescent="0.2">
      <c r="A21" s="27">
        <v>10</v>
      </c>
      <c r="B21" s="27">
        <v>42600000</v>
      </c>
      <c r="C21" s="27" t="s">
        <v>131</v>
      </c>
      <c r="D21" s="3">
        <v>7000</v>
      </c>
      <c r="E21" s="27" t="s">
        <v>10</v>
      </c>
      <c r="F21" s="29" t="s">
        <v>163</v>
      </c>
      <c r="G21" s="29" t="s">
        <v>164</v>
      </c>
      <c r="H21" s="30"/>
    </row>
    <row r="22" spans="1:8" ht="29.25" customHeight="1" x14ac:dyDescent="0.2">
      <c r="A22" s="27">
        <v>11</v>
      </c>
      <c r="B22" s="27">
        <v>43800000</v>
      </c>
      <c r="C22" s="27" t="s">
        <v>86</v>
      </c>
      <c r="D22" s="8">
        <f>595000-343000</f>
        <v>252000</v>
      </c>
      <c r="E22" s="27" t="s">
        <v>25</v>
      </c>
      <c r="F22" s="29" t="s">
        <v>12</v>
      </c>
      <c r="G22" s="29" t="s">
        <v>24</v>
      </c>
      <c r="H22" s="30"/>
    </row>
    <row r="23" spans="1:8" ht="31.5" customHeight="1" x14ac:dyDescent="0.2">
      <c r="A23" s="27">
        <v>12</v>
      </c>
      <c r="B23" s="45">
        <v>44400000</v>
      </c>
      <c r="C23" s="45" t="s">
        <v>42</v>
      </c>
      <c r="D23" s="3">
        <v>600</v>
      </c>
      <c r="E23" s="27" t="s">
        <v>10</v>
      </c>
      <c r="F23" s="29" t="s">
        <v>166</v>
      </c>
      <c r="G23" s="29" t="s">
        <v>166</v>
      </c>
      <c r="H23" s="30"/>
    </row>
    <row r="24" spans="1:8" ht="35.25" customHeight="1" x14ac:dyDescent="0.2">
      <c r="A24" s="27">
        <v>13</v>
      </c>
      <c r="B24" s="27">
        <v>44500000</v>
      </c>
      <c r="C24" s="27" t="s">
        <v>132</v>
      </c>
      <c r="D24" s="3">
        <v>9990</v>
      </c>
      <c r="E24" s="27" t="s">
        <v>10</v>
      </c>
      <c r="F24" s="29" t="s">
        <v>163</v>
      </c>
      <c r="G24" s="29" t="s">
        <v>164</v>
      </c>
      <c r="H24" s="30"/>
    </row>
    <row r="25" spans="1:8" ht="39.75" customHeight="1" x14ac:dyDescent="0.2">
      <c r="A25" s="27">
        <v>14</v>
      </c>
      <c r="B25" s="27">
        <v>45200000</v>
      </c>
      <c r="C25" s="27" t="s">
        <v>64</v>
      </c>
      <c r="D25" s="8">
        <v>77880</v>
      </c>
      <c r="E25" s="27" t="s">
        <v>25</v>
      </c>
      <c r="F25" s="29" t="s">
        <v>163</v>
      </c>
      <c r="G25" s="29" t="s">
        <v>164</v>
      </c>
      <c r="H25" s="30"/>
    </row>
    <row r="26" spans="1:8" s="19" customFormat="1" ht="22.5" customHeight="1" x14ac:dyDescent="0.2">
      <c r="A26" s="27">
        <v>15</v>
      </c>
      <c r="B26" s="95">
        <v>55100000</v>
      </c>
      <c r="C26" s="95" t="s">
        <v>154</v>
      </c>
      <c r="D26" s="3">
        <f>20000-10100</f>
        <v>9900</v>
      </c>
      <c r="E26" s="27" t="s">
        <v>10</v>
      </c>
      <c r="F26" s="29" t="s">
        <v>12</v>
      </c>
      <c r="G26" s="29" t="s">
        <v>24</v>
      </c>
      <c r="H26" s="30"/>
    </row>
    <row r="27" spans="1:8" s="19" customFormat="1" ht="25.5" customHeight="1" x14ac:dyDescent="0.2">
      <c r="A27" s="27">
        <v>16</v>
      </c>
      <c r="B27" s="96"/>
      <c r="C27" s="96"/>
      <c r="D27" s="3">
        <v>50000</v>
      </c>
      <c r="E27" s="27" t="s">
        <v>10</v>
      </c>
      <c r="F27" s="29" t="s">
        <v>12</v>
      </c>
      <c r="G27" s="29" t="s">
        <v>24</v>
      </c>
      <c r="H27" s="30" t="s">
        <v>59</v>
      </c>
    </row>
    <row r="28" spans="1:8" s="19" customFormat="1" ht="28.5" customHeight="1" x14ac:dyDescent="0.2">
      <c r="A28" s="27">
        <v>17</v>
      </c>
      <c r="B28" s="95">
        <v>55300000</v>
      </c>
      <c r="C28" s="95" t="s">
        <v>75</v>
      </c>
      <c r="D28" s="3">
        <v>10000</v>
      </c>
      <c r="E28" s="27" t="s">
        <v>10</v>
      </c>
      <c r="F28" s="29" t="s">
        <v>12</v>
      </c>
      <c r="G28" s="29" t="s">
        <v>24</v>
      </c>
      <c r="H28" s="30" t="s">
        <v>59</v>
      </c>
    </row>
    <row r="29" spans="1:8" s="19" customFormat="1" ht="28.5" customHeight="1" x14ac:dyDescent="0.2">
      <c r="A29" s="27">
        <v>18</v>
      </c>
      <c r="B29" s="96"/>
      <c r="C29" s="96"/>
      <c r="D29" s="3">
        <v>16000</v>
      </c>
      <c r="E29" s="27" t="s">
        <v>25</v>
      </c>
      <c r="F29" s="29" t="s">
        <v>163</v>
      </c>
      <c r="G29" s="29" t="s">
        <v>164</v>
      </c>
      <c r="H29" s="30"/>
    </row>
    <row r="30" spans="1:8" s="19" customFormat="1" ht="28.5" customHeight="1" x14ac:dyDescent="0.2">
      <c r="A30" s="27">
        <v>19</v>
      </c>
      <c r="B30" s="27">
        <v>60100000</v>
      </c>
      <c r="C30" s="27" t="s">
        <v>155</v>
      </c>
      <c r="D30" s="3">
        <v>9000</v>
      </c>
      <c r="E30" s="27" t="s">
        <v>10</v>
      </c>
      <c r="F30" s="29" t="s">
        <v>12</v>
      </c>
      <c r="G30" s="29" t="s">
        <v>24</v>
      </c>
      <c r="H30" s="30"/>
    </row>
    <row r="31" spans="1:8" s="19" customFormat="1" ht="28.5" customHeight="1" x14ac:dyDescent="0.2">
      <c r="A31" s="27">
        <v>20</v>
      </c>
      <c r="B31" s="27">
        <v>66100000</v>
      </c>
      <c r="C31" s="27" t="s">
        <v>156</v>
      </c>
      <c r="D31" s="3">
        <v>2000</v>
      </c>
      <c r="E31" s="27" t="s">
        <v>10</v>
      </c>
      <c r="F31" s="29" t="s">
        <v>12</v>
      </c>
      <c r="G31" s="29" t="s">
        <v>24</v>
      </c>
      <c r="H31" s="30"/>
    </row>
    <row r="32" spans="1:8" ht="30.75" customHeight="1" x14ac:dyDescent="0.2">
      <c r="A32" s="27">
        <v>21</v>
      </c>
      <c r="B32" s="27">
        <v>73100000</v>
      </c>
      <c r="C32" s="27" t="s">
        <v>157</v>
      </c>
      <c r="D32" s="3">
        <f>120000-8800</f>
        <v>111200</v>
      </c>
      <c r="E32" s="27" t="s">
        <v>25</v>
      </c>
      <c r="F32" s="29" t="s">
        <v>12</v>
      </c>
      <c r="G32" s="29" t="s">
        <v>24</v>
      </c>
      <c r="H32" s="30"/>
    </row>
    <row r="33" spans="1:8" ht="27" customHeight="1" x14ac:dyDescent="0.2">
      <c r="A33" s="27">
        <v>22</v>
      </c>
      <c r="B33" s="27">
        <v>77200000</v>
      </c>
      <c r="C33" s="27" t="s">
        <v>27</v>
      </c>
      <c r="D33" s="3">
        <f>1039050+20570</f>
        <v>1059620</v>
      </c>
      <c r="E33" s="27" t="s">
        <v>25</v>
      </c>
      <c r="F33" s="29" t="s">
        <v>12</v>
      </c>
      <c r="G33" s="29" t="s">
        <v>24</v>
      </c>
      <c r="H33" s="30" t="s">
        <v>158</v>
      </c>
    </row>
    <row r="34" spans="1:8" ht="26.25" customHeight="1" x14ac:dyDescent="0.2">
      <c r="A34" s="27">
        <v>23</v>
      </c>
      <c r="B34" s="27">
        <v>79200000</v>
      </c>
      <c r="C34" s="27" t="s">
        <v>159</v>
      </c>
      <c r="D34" s="3">
        <v>30000</v>
      </c>
      <c r="E34" s="27" t="s">
        <v>25</v>
      </c>
      <c r="F34" s="29" t="s">
        <v>12</v>
      </c>
      <c r="G34" s="29" t="s">
        <v>24</v>
      </c>
      <c r="H34" s="30"/>
    </row>
    <row r="35" spans="1:8" ht="30.75" customHeight="1" x14ac:dyDescent="0.2">
      <c r="A35" s="27">
        <v>24</v>
      </c>
      <c r="B35" s="27">
        <v>79400000</v>
      </c>
      <c r="C35" s="27" t="s">
        <v>140</v>
      </c>
      <c r="D35" s="3">
        <f>169350-84160</f>
        <v>85190</v>
      </c>
      <c r="E35" s="27" t="s">
        <v>25</v>
      </c>
      <c r="F35" s="29" t="s">
        <v>12</v>
      </c>
      <c r="G35" s="29" t="s">
        <v>24</v>
      </c>
      <c r="H35" s="30"/>
    </row>
    <row r="36" spans="1:8" ht="31.5" customHeight="1" x14ac:dyDescent="0.2">
      <c r="A36" s="27">
        <v>25</v>
      </c>
      <c r="B36" s="27">
        <v>79500000</v>
      </c>
      <c r="C36" s="27" t="s">
        <v>160</v>
      </c>
      <c r="D36" s="11">
        <f>9900+98.95</f>
        <v>9998.9500000000007</v>
      </c>
      <c r="E36" s="27" t="s">
        <v>10</v>
      </c>
      <c r="F36" s="29" t="s">
        <v>12</v>
      </c>
      <c r="G36" s="29" t="s">
        <v>24</v>
      </c>
      <c r="H36" s="30"/>
    </row>
    <row r="37" spans="1:8" ht="27.75" customHeight="1" x14ac:dyDescent="0.2">
      <c r="A37" s="27">
        <v>26</v>
      </c>
      <c r="B37" s="27">
        <v>80500000</v>
      </c>
      <c r="C37" s="27" t="s">
        <v>84</v>
      </c>
      <c r="D37" s="3">
        <v>100000</v>
      </c>
      <c r="E37" s="27" t="s">
        <v>25</v>
      </c>
      <c r="F37" s="29" t="s">
        <v>12</v>
      </c>
      <c r="G37" s="29" t="s">
        <v>24</v>
      </c>
      <c r="H37" s="30"/>
    </row>
    <row r="38" spans="1:8" s="23" customFormat="1" ht="16.5" customHeight="1" x14ac:dyDescent="0.2">
      <c r="A38" s="35"/>
      <c r="B38" s="72"/>
      <c r="C38" s="61"/>
      <c r="D38" s="18"/>
      <c r="E38" s="65"/>
      <c r="F38" s="19"/>
      <c r="G38" s="19"/>
      <c r="H38" s="73"/>
    </row>
    <row r="39" spans="1:8" ht="12" customHeight="1" x14ac:dyDescent="0.2">
      <c r="B39" s="53"/>
      <c r="C39" s="25"/>
      <c r="D39" s="18"/>
      <c r="E39" s="55"/>
      <c r="F39" s="19"/>
      <c r="G39" s="19"/>
      <c r="H39" s="40"/>
    </row>
    <row r="40" spans="1:8" ht="38.25" customHeight="1" x14ac:dyDescent="0.2">
      <c r="B40" s="102" t="s">
        <v>149</v>
      </c>
      <c r="C40" s="102"/>
    </row>
    <row r="41" spans="1:8" ht="13.5" customHeight="1" x14ac:dyDescent="0.2">
      <c r="B41" s="20"/>
      <c r="D41" s="2"/>
      <c r="E41" s="101" t="s">
        <v>9</v>
      </c>
      <c r="F41" s="101"/>
    </row>
    <row r="42" spans="1:8" ht="37.5" customHeight="1" x14ac:dyDescent="0.2">
      <c r="B42" s="20"/>
    </row>
    <row r="43" spans="1:8" x14ac:dyDescent="0.2">
      <c r="B43" s="20"/>
    </row>
    <row r="44" spans="1:8" ht="21.75" customHeight="1" x14ac:dyDescent="0.2">
      <c r="B44" s="107"/>
      <c r="C44" s="107"/>
      <c r="D44" s="107"/>
    </row>
    <row r="45" spans="1:8" ht="13.5" customHeight="1" x14ac:dyDescent="0.2">
      <c r="B45" s="102" t="s">
        <v>20</v>
      </c>
      <c r="C45" s="102"/>
      <c r="D45" s="102"/>
    </row>
    <row r="46" spans="1:8" x14ac:dyDescent="0.2">
      <c r="B46" s="20"/>
      <c r="E46" s="101" t="s">
        <v>9</v>
      </c>
      <c r="F46" s="101"/>
    </row>
    <row r="52" spans="3:5" x14ac:dyDescent="0.2">
      <c r="C52" s="51"/>
    </row>
    <row r="53" spans="3:5" x14ac:dyDescent="0.2">
      <c r="C53" s="74"/>
      <c r="E53" s="61"/>
    </row>
    <row r="54" spans="3:5" ht="19.5" customHeight="1" x14ac:dyDescent="0.2">
      <c r="C54" s="75"/>
    </row>
    <row r="56" spans="3:5" ht="24.75" customHeight="1" x14ac:dyDescent="0.2">
      <c r="C56" s="25"/>
    </row>
    <row r="57" spans="3:5" ht="22.5" customHeight="1" x14ac:dyDescent="0.2"/>
    <row r="58" spans="3:5" x14ac:dyDescent="0.2">
      <c r="C58" s="57"/>
    </row>
  </sheetData>
  <sheetProtection algorithmName="SHA-512" hashValue="IB4FiH2X4QkbaKMhlPO+1DRhKKBh5lPtRzwPEvAIqGbjW6SyM8NBnfxGTg8k6YhhtWoI1lixTGVLou2BULsvAg==" saltValue="3QIYgmBw3LOcUDw1LCXg3A==" spinCount="100000" sheet="1" objects="1" scenarios="1"/>
  <mergeCells count="18">
    <mergeCell ref="B40:C40"/>
    <mergeCell ref="E41:F41"/>
    <mergeCell ref="B44:D44"/>
    <mergeCell ref="B45:D45"/>
    <mergeCell ref="E46:F46"/>
    <mergeCell ref="A8:H8"/>
    <mergeCell ref="A9:H9"/>
    <mergeCell ref="B26:B27"/>
    <mergeCell ref="C26:C27"/>
    <mergeCell ref="B28:B29"/>
    <mergeCell ref="C28:C2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ბიუჯეტი-გეგმა</vt:lpstr>
      <vt:lpstr>საკუთარი-გეგმა</vt:lpstr>
      <vt:lpstr>granti (BTC Co) (SCP Co)</vt:lpstr>
      <vt:lpstr>granti  (GIZ) (GCF)</vt:lpstr>
      <vt:lpstr>'ბიუჯეტი-გეგმა'!Print_Area</vt:lpstr>
      <vt:lpstr>'საკუთარი-გეგმა'!Print_Area</vt:lpstr>
    </vt:vector>
  </TitlesOfParts>
  <Company>SPD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GOCHA NADIRADZE</dc:creator>
  <cp:lastModifiedBy>Tamta Iashvili</cp:lastModifiedBy>
  <cp:lastPrinted>2024-07-03T14:48:19Z</cp:lastPrinted>
  <dcterms:created xsi:type="dcterms:W3CDTF">2001-03-27T09:30:29Z</dcterms:created>
  <dcterms:modified xsi:type="dcterms:W3CDTF">2025-01-31T12:14:33Z</dcterms:modified>
</cp:coreProperties>
</file>