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OR_Finance Division\საფინანსო სამმართველოს ბაზა - 2021-2024\ბაზები - 2024\პროაქტიული ინფორმაცია - 2024\.მესამე კვარტალი\"/>
    </mc:Choice>
  </mc:AlternateContent>
  <xr:revisionPtr revIDLastSave="0" documentId="13_ncr:1_{74F6F7BB-AEDB-493B-A264-7C851D26EC68}" xr6:coauthVersionLast="47" xr6:coauthVersionMax="47" xr10:uidLastSave="{00000000-0000-0000-0000-000000000000}"/>
  <bookViews>
    <workbookView xWindow="-120" yWindow="-120" windowWidth="29040" windowHeight="15720" tabRatio="483" xr2:uid="{00000000-000D-0000-FFFF-FFFF00000000}"/>
  </bookViews>
  <sheets>
    <sheet name="ბიუჯეტი-გეგმა" sheetId="142" r:id="rId1"/>
    <sheet name="საკუთარი - გეგმა" sheetId="143" r:id="rId2"/>
    <sheet name="გრანტი-BTC.SCP" sheetId="144" r:id="rId3"/>
    <sheet name="გრანტი (GIZ) (GCF)" sheetId="145" r:id="rId4"/>
  </sheets>
  <definedNames>
    <definedName name="_xlnm.Print_Area" localSheetId="0">'ბიუჯეტი-გეგმა'!$A$2:$I$116</definedName>
  </definedNames>
  <calcPr calcId="191029"/>
</workbook>
</file>

<file path=xl/calcChain.xml><?xml version="1.0" encoding="utf-8"?>
<calcChain xmlns="http://schemas.openxmlformats.org/spreadsheetml/2006/main">
  <c r="D35" i="145" l="1"/>
  <c r="D34" i="145"/>
  <c r="D32" i="145"/>
  <c r="D31" i="145"/>
  <c r="D25" i="145"/>
  <c r="D15" i="145"/>
  <c r="A9" i="145"/>
  <c r="D15" i="144" l="1"/>
  <c r="D14" i="144"/>
  <c r="D12" i="144"/>
  <c r="A9" i="144"/>
  <c r="D111" i="143" l="1"/>
  <c r="D108" i="143"/>
  <c r="D105" i="143"/>
  <c r="D104" i="143"/>
  <c r="D103" i="143"/>
  <c r="D101" i="143"/>
  <c r="D96" i="143"/>
  <c r="D91" i="143"/>
  <c r="D89" i="143"/>
  <c r="D86" i="143"/>
  <c r="D85" i="143"/>
  <c r="D82" i="143"/>
  <c r="D80" i="143"/>
  <c r="D79" i="143"/>
  <c r="D76" i="143"/>
  <c r="D75" i="143"/>
  <c r="D72" i="143"/>
  <c r="D70" i="143"/>
  <c r="D61" i="143"/>
  <c r="D60" i="143"/>
  <c r="D57" i="143"/>
  <c r="D50" i="143"/>
  <c r="D47" i="143"/>
  <c r="D46" i="143"/>
  <c r="D45" i="143"/>
  <c r="D40" i="143"/>
  <c r="D37" i="143"/>
  <c r="D33" i="143"/>
  <c r="D30" i="143"/>
  <c r="D29" i="143"/>
  <c r="D26" i="143"/>
  <c r="D25" i="143"/>
  <c r="D23" i="143"/>
  <c r="D22" i="143"/>
  <c r="D19" i="143"/>
  <c r="D18" i="143"/>
  <c r="D15" i="143"/>
  <c r="D14" i="143"/>
  <c r="D12" i="143"/>
  <c r="A9" i="143"/>
  <c r="A9" i="142" l="1"/>
  <c r="D90" i="142"/>
  <c r="D94" i="142"/>
  <c r="D99" i="142"/>
  <c r="D72" i="142"/>
  <c r="D75" i="142"/>
  <c r="D66" i="142"/>
  <c r="D65" i="142"/>
  <c r="D43" i="142"/>
  <c r="D45" i="142"/>
  <c r="D39" i="142"/>
  <c r="D37" i="142"/>
  <c r="D30" i="142"/>
  <c r="D24" i="142"/>
  <c r="D19" i="142"/>
  <c r="D16" i="142"/>
  <c r="D12" i="142" l="1"/>
  <c r="D63" i="142" l="1"/>
  <c r="D33" i="142"/>
  <c r="D67" i="142" l="1"/>
  <c r="D51" i="142"/>
  <c r="D92" i="142" l="1"/>
  <c r="D48" i="142"/>
  <c r="D58" i="142" l="1"/>
  <c r="D47" i="142"/>
  <c r="D42" i="142"/>
  <c r="D27" i="142"/>
  <c r="D96" i="142"/>
  <c r="D50" i="142"/>
  <c r="D22" i="142"/>
  <c r="D61" i="142"/>
  <c r="D59" i="142"/>
  <c r="D14" i="142"/>
  <c r="D13" i="142"/>
  <c r="D71" i="142" l="1"/>
  <c r="D64" i="142"/>
  <c r="D52" i="142"/>
  <c r="D103" i="142"/>
  <c r="D74" i="142" l="1"/>
  <c r="D60" i="142"/>
  <c r="D81" i="142" l="1"/>
  <c r="D18" i="142"/>
  <c r="D97" i="142"/>
  <c r="D25" i="142"/>
  <c r="D20" i="142"/>
  <c r="D29" i="142" l="1"/>
  <c r="D98" i="142"/>
  <c r="D70" i="142" l="1"/>
  <c r="D84" i="142" l="1"/>
  <c r="D83" i="142" l="1"/>
  <c r="D73" i="142"/>
  <c r="D54" i="142"/>
  <c r="D69" i="142" l="1"/>
  <c r="D101" i="142" l="1"/>
  <c r="D104" i="142" l="1"/>
  <c r="D35" i="142" l="1"/>
  <c r="D32" i="142" l="1"/>
  <c r="D26" i="142" l="1"/>
  <c r="D100" i="142" l="1"/>
  <c r="D88" i="142"/>
  <c r="D89" i="142"/>
  <c r="D34" i="142"/>
  <c r="D41" i="142" l="1"/>
  <c r="D49" i="142"/>
  <c r="D78" i="142" l="1"/>
  <c r="D102" i="142"/>
  <c r="D105" i="142"/>
  <c r="D106" i="142"/>
  <c r="D76" i="142" l="1"/>
  <c r="D28" i="142" l="1"/>
  <c r="J4" i="142" l="1"/>
  <c r="D95" i="142" l="1"/>
</calcChain>
</file>

<file path=xl/sharedStrings.xml><?xml version="1.0" encoding="utf-8"?>
<sst xmlns="http://schemas.openxmlformats.org/spreadsheetml/2006/main" count="1210" uniqueCount="338">
  <si>
    <t>SeniSvna</t>
  </si>
  <si>
    <t>#</t>
  </si>
  <si>
    <t>danayofis kodi</t>
  </si>
  <si>
    <t>danayofis dasaxeleba</t>
  </si>
  <si>
    <t>Sesyidvis saSualeba</t>
  </si>
  <si>
    <t>Sesyidvebis dawyebis savaraudo vadebi</t>
  </si>
  <si>
    <t>Sesyidvis obieqtis miwodebis savaraudo vada</t>
  </si>
  <si>
    <t>2. Semsyidveli organizaciis saidentifikacio kodi</t>
  </si>
  <si>
    <t>3. Semsyidveli organizaciis dasaxeleba</t>
  </si>
  <si>
    <t>(xelmowera)</t>
  </si>
  <si>
    <t>g.S</t>
  </si>
  <si>
    <t>aveji</t>
  </si>
  <si>
    <t>I kv</t>
  </si>
  <si>
    <t>konsolidirebuli tenderi</t>
  </si>
  <si>
    <t>k.t</t>
  </si>
  <si>
    <t>5. saxelmwifo Sesyidvebis gegmiT gaTvaliswinebuli jamuri Tanxa dafinansebis wyaros Sesabamisad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</si>
  <si>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"d" qvepunqti</t>
    </r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</si>
  <si>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"z" qvepunqti</t>
    </r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</si>
  <si>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"a" qvepunqti</t>
    </r>
  </si>
  <si>
    <t>saxmeleTo, wylisa da sahaero transportis damxmare momsaxurebebi</t>
  </si>
  <si>
    <t>saagentos ufrosi an uflebamosili piri</t>
  </si>
  <si>
    <t>ssip erovnuli satyeo saagento</t>
  </si>
  <si>
    <t xml:space="preserve">saofise manqana-danadgarebi, aRWurviloba da sakancelario nivTebi, kompiuterebis, printerebisa da avejis garda </t>
  </si>
  <si>
    <t>satransporto saSualebebisa da maTTan dakavSirebuli mowyobilobebis SekeTeba, teqnikuri momsaxureba da masTan dakavSirebuli momsaxurebebi</t>
  </si>
  <si>
    <t>I-IV kv</t>
  </si>
  <si>
    <t>e.t</t>
  </si>
  <si>
    <t xml:space="preserve">             saxelmwifo Sesyidvebis wliuri gegmis forma</t>
  </si>
  <si>
    <t>satyeo meurneobasTan dakavSirebuli momsaxurbebi</t>
  </si>
  <si>
    <t>gamoZiebasa da usafrTxoebasTan dakavSirebuli momsaxurebebi</t>
  </si>
  <si>
    <t xml:space="preserve">akumulatorebi, denis pirveladi wyaroebi da pirveladi elementebi </t>
  </si>
  <si>
    <t xml:space="preserve">internetmomsaxurebebi </t>
  </si>
  <si>
    <t>radio da satelevizio momsaxurebebi</t>
  </si>
  <si>
    <t>Gg.S</t>
  </si>
  <si>
    <t>sadazRvevo da sapensio momsaxurebebi</t>
  </si>
  <si>
    <t>091 00000</t>
  </si>
  <si>
    <t xml:space="preserve">sawvavi  </t>
  </si>
  <si>
    <t>nawilebi da aqsesuarebi satransporto saSualebebisa da maTi ZravebisTvis</t>
  </si>
  <si>
    <t>biblioTekebis, arqivebis, muzeumebisa da sxva kulturuli dawesebulebebis momsaxurebebi</t>
  </si>
  <si>
    <t>savaraudo Rirebuleba</t>
  </si>
  <si>
    <t xml:space="preserve">satelekomunikacio momsaxurebebi </t>
  </si>
  <si>
    <t xml:space="preserve">              danarTi #2</t>
  </si>
  <si>
    <t xml:space="preserve">personaluri kompiuterebis, saofise aparaturis, satelekomunikacio da audiovizualuri mowyobilobebis SekeTeba, teqnikuri momsaxureba da maTTan dakavSirebuli momsaxurebebi </t>
  </si>
  <si>
    <t>sxvadasxva qarxnuli warmoebis masala da maTTan dakavSirebuli sagnebi</t>
  </si>
  <si>
    <t>qselebi</t>
  </si>
  <si>
    <t>Senobis mowyobilobebis SekeTeba da teqnikuri momsaxureba</t>
  </si>
  <si>
    <t xml:space="preserve">tvirTis gadazidvisa da Senaxvis momsaxurebebi </t>
  </si>
  <si>
    <t>administraciuli momsaxureba</t>
  </si>
  <si>
    <t>axali ambebis saagentoebis momsaxurebebi</t>
  </si>
  <si>
    <t>092 00000</t>
  </si>
  <si>
    <t>navTobi, qvanaxSiri da navTobproduqtebi</t>
  </si>
  <si>
    <t>sxvadasxva zogadi da specialuri daniSnulebis manqana-danadgarebi</t>
  </si>
  <si>
    <t>avejis aqsesuarebi</t>
  </si>
  <si>
    <t>dasufTaveba da sanitariuli momsaxureba</t>
  </si>
  <si>
    <t xml:space="preserve">finansuri departamentis, Sesyidvebis sammarTvelos ufrosi                                                                                        </t>
  </si>
  <si>
    <t>samkaulebi, saaTebi da monaTesave nivTebi</t>
  </si>
  <si>
    <t xml:space="preserve">programuli uzrunvelyofis SemuSaveba da sakonsultacio momsaxurebebi </t>
  </si>
  <si>
    <t>monacemTa bazisa da operaciuli programuli paketebi</t>
  </si>
  <si>
    <t>markebi, Cekebis wignakebi, banknotebi, aqciebi, sareklamo masala, katalogebi  da saxelmZRvaneloebi</t>
  </si>
  <si>
    <t>radiotelefoniis, radiosatelegrafo, radio da telemauwyeblobis aparatura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</si>
  <si>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"v" qvepunqti</t>
    </r>
  </si>
  <si>
    <t>sxvadasxva sakvebi produqtebi</t>
  </si>
  <si>
    <t>sasmelebi, Tambaqo da monaTesave produqtebi</t>
  </si>
  <si>
    <t>kanonis  me-10¹ muxlis me-3 punqtis "z" qvepunqti</t>
  </si>
  <si>
    <t>qselebis, internetisa da intranetis programuli paketebi</t>
  </si>
  <si>
    <t>mTliani an nawilobrivi samSeneblo samuSaoebi da samoqalaqo mSeneblobis samuSaoebi</t>
  </si>
  <si>
    <t>specialuri tansacmeli da aqsesuarebi</t>
  </si>
  <si>
    <t>iaraRi, sabrZolo masala da aqsesuarebi (Tanmdevi nawilebi)</t>
  </si>
  <si>
    <t>erToblivi tenderi</t>
  </si>
  <si>
    <t xml:space="preserve">sagangebo situaciebis dros gamosayenebeli mowyobilobebi da usafrTxoebis saSualebebi </t>
  </si>
  <si>
    <r>
      <t xml:space="preserve">4. dafinansebis wyaro                                                 </t>
    </r>
    <r>
      <rPr>
        <b/>
        <sz val="9"/>
        <rFont val="AcadNusx"/>
      </rPr>
      <t>saxelmwifo biujeti</t>
    </r>
  </si>
  <si>
    <t>safosto da sakuriero momsaxurebebi</t>
  </si>
  <si>
    <t>Senobis dasrulebis samuSaoebi</t>
  </si>
  <si>
    <t>samSeneblo-samontaJo samuSaoebi</t>
  </si>
  <si>
    <t xml:space="preserve">(01) warmomadgenlobiTi xarji, yava/Cai - . </t>
  </si>
  <si>
    <t xml:space="preserve">(01) warmomadgenlobiTi xarji, sasmelebi -; </t>
  </si>
  <si>
    <t>(01) formebi</t>
  </si>
  <si>
    <t xml:space="preserve">(01) fasiani saCuqrebi -  </t>
  </si>
  <si>
    <t xml:space="preserve">(01) akumulatorebი -; </t>
  </si>
  <si>
    <t>(01) mobilurebi</t>
  </si>
  <si>
    <t>(01) sviCebi da kabeli;</t>
  </si>
  <si>
    <t>(01) aveji - ;</t>
  </si>
  <si>
    <t>(01) სსლ სერთიფიკატი</t>
  </si>
  <si>
    <t xml:space="preserve">(01) manqanebis jipiesi - . </t>
  </si>
  <si>
    <t xml:space="preserve">(01) fosta (sakuriero) -  </t>
  </si>
  <si>
    <t>(01) fiWuri - ;</t>
  </si>
  <si>
    <t>(01) speckavSirebis momsaxureba - .</t>
  </si>
  <si>
    <t>(01) silqneti qalaqis - .</t>
  </si>
  <si>
    <t>(01) tenderis safasuri - .</t>
  </si>
  <si>
    <t xml:space="preserve">(01) manqanebis dazveva  - . </t>
  </si>
  <si>
    <t xml:space="preserve">(01) janmrTelobis savaldebulo dazveva - . </t>
  </si>
  <si>
    <t xml:space="preserve">(01) desi-el.kancelaria -. </t>
  </si>
  <si>
    <r>
      <t>(01) interneti da</t>
    </r>
    <r>
      <rPr>
        <sz val="7"/>
        <rFont val="Times New Roman"/>
        <family val="1"/>
      </rPr>
      <t xml:space="preserve"> VPN - ;</t>
    </r>
  </si>
  <si>
    <t>(01) saxali ambebis saagento</t>
  </si>
  <si>
    <t>(01) arqivi - .</t>
  </si>
  <si>
    <t>gasanaTebeli mowyobilobebi da eleqtronaTurebi</t>
  </si>
  <si>
    <t>(01) naTurebi -</t>
  </si>
  <si>
    <t>sxvadasxva komerciuli momsaxureba da masTan dakavSirebuli momsaxurebebi</t>
  </si>
  <si>
    <t xml:space="preserve">restornebisa da kvebis sawarmoebis momsaxureobebi </t>
  </si>
  <si>
    <t>(01) furSeti</t>
  </si>
  <si>
    <t>eleqtroZravebi, generatorebi da transformatorebi</t>
  </si>
  <si>
    <t>(01) ტელეფონის აპარატები</t>
  </si>
  <si>
    <t>satelekomunikacio mowyobilobebi da aqsesuarebi</t>
  </si>
  <si>
    <t>(01) RonisZiebis organizeba</t>
  </si>
  <si>
    <t>tansacmeli</t>
  </si>
  <si>
    <t>034 00000</t>
  </si>
  <si>
    <t>metyeveobisa da tyekafvis produqtebi</t>
  </si>
  <si>
    <t xml:space="preserve">(01)  - mcenareebi-bza; </t>
  </si>
  <si>
    <t>(01) qoTnebi - .</t>
  </si>
  <si>
    <t>(01) cimcimebi</t>
  </si>
  <si>
    <t>(02) traqtoris qiraoba</t>
  </si>
  <si>
    <t>soflis meurneobasTan dakavSirebuli momsaxurebebi</t>
  </si>
  <si>
    <t>sasuqebi da nitrogenuli naerTebi</t>
  </si>
  <si>
    <t xml:space="preserve">(02) wamali </t>
  </si>
  <si>
    <t xml:space="preserve">qaRaldis an muyaos saregistracio Jurnalebi/wignebi, sabuRaltro wignebi, formebi da sxva nabeWdi sakancelario nivTebi </t>
  </si>
  <si>
    <t>(01)  - bainderebi-failebi; bloknotebi</t>
  </si>
  <si>
    <t xml:space="preserve">(01) damtenebi; </t>
  </si>
  <si>
    <t>(01) maisurebi</t>
  </si>
  <si>
    <t>(01) - -იარაღი</t>
  </si>
  <si>
    <t>satreningo momsaxurebebi</t>
  </si>
  <si>
    <t xml:space="preserve">(01) treningi - </t>
  </si>
  <si>
    <t>avtomanqanebis recxva</t>
  </si>
  <si>
    <t>saamqros danadgarebi</t>
  </si>
  <si>
    <t xml:space="preserve">(03)   benzoxerxebi და saCexebi </t>
  </si>
  <si>
    <t>traqtorebi</t>
  </si>
  <si>
    <t xml:space="preserve">samSeneblo masalebi da damxmare samSeneblo masalebi </t>
  </si>
  <si>
    <t>(02) lursmani 4</t>
  </si>
  <si>
    <r>
      <rPr>
        <b/>
        <sz val="7"/>
        <color theme="9" tint="-0.499984740745262"/>
        <rFont val="AcadNusx"/>
      </rPr>
      <t xml:space="preserve"> </t>
    </r>
    <r>
      <rPr>
        <sz val="7"/>
        <rFont val="AcadNusx"/>
      </rPr>
      <t xml:space="preserve">(01) kondicionerebis SekeTeba </t>
    </r>
    <r>
      <rPr>
        <b/>
        <sz val="7"/>
        <color theme="9" tint="-0.499984740745262"/>
        <rFont val="AcadNusx"/>
      </rPr>
      <t>preiskurantiT</t>
    </r>
    <r>
      <rPr>
        <sz val="7"/>
        <rFont val="AcadNusx"/>
      </rPr>
      <t xml:space="preserve"> - -------; liftebis da sxva sistemebis SekeTeba - </t>
    </r>
  </si>
  <si>
    <t>(01)  - sakancelario nivTebi. vizitkebi</t>
  </si>
  <si>
    <t>(01) 13000 qaRaldi 13000. kartrijebi 15000.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</si>
  <si>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"T" qvepunqti</t>
    </r>
  </si>
  <si>
    <t xml:space="preserve">(02) ; </t>
  </si>
  <si>
    <r>
      <t xml:space="preserve">(01) kartrijebis datumbva 7000. da kompebis SekeTeba </t>
    </r>
    <r>
      <rPr>
        <b/>
        <sz val="7"/>
        <rFont val="AcadNusx"/>
      </rPr>
      <t xml:space="preserve">preiskuranti - </t>
    </r>
    <r>
      <rPr>
        <sz val="7"/>
        <rFont val="AcadNusx"/>
      </rPr>
      <t>.</t>
    </r>
  </si>
  <si>
    <t xml:space="preserve"> (02) -----.   </t>
  </si>
  <si>
    <r>
      <t xml:space="preserve">(01) ------; </t>
    </r>
    <r>
      <rPr>
        <b/>
        <sz val="7"/>
        <color rgb="FF0070C0"/>
        <rFont val="AcadNusx"/>
      </rPr>
      <t xml:space="preserve">   </t>
    </r>
  </si>
  <si>
    <t xml:space="preserve">(01) ------- evakuatori; </t>
  </si>
  <si>
    <t xml:space="preserve">(01) - macne; ; </t>
  </si>
  <si>
    <r>
      <t xml:space="preserve">(01) -------- sabur;   </t>
    </r>
    <r>
      <rPr>
        <b/>
        <sz val="7"/>
        <color rgb="FF0070C0"/>
        <rFont val="AcadNusx"/>
      </rPr>
      <t xml:space="preserve"> </t>
    </r>
  </si>
  <si>
    <t>(03) saRebavebi</t>
  </si>
  <si>
    <t>saRebavebi, laqebi da mastikebi</t>
  </si>
  <si>
    <r>
      <t xml:space="preserve">(01) 170000-1592=168408 Senobebis dacva </t>
    </r>
    <r>
      <rPr>
        <b/>
        <sz val="7"/>
        <color rgb="FF0070C0"/>
        <rFont val="AcadNusx"/>
      </rPr>
      <t>(03) 30000+20000=50000 .</t>
    </r>
    <r>
      <rPr>
        <sz val="7"/>
        <rFont val="AcadNusx"/>
      </rPr>
      <t xml:space="preserve"> </t>
    </r>
    <r>
      <rPr>
        <b/>
        <sz val="7"/>
        <color rgb="FF0070C0"/>
        <rFont val="AcadNusx"/>
      </rPr>
      <t>tvirTebis gacileba</t>
    </r>
  </si>
  <si>
    <t>struqturuli masalebi</t>
  </si>
  <si>
    <r>
      <t xml:space="preserve">  </t>
    </r>
    <r>
      <rPr>
        <b/>
        <sz val="7"/>
        <color rgb="FF0070C0"/>
        <rFont val="AcadNusx"/>
      </rPr>
      <t>(03) jixuri …;</t>
    </r>
  </si>
  <si>
    <t xml:space="preserve">(01)   (bolnisi, TianeTi, mcxeTa.); </t>
  </si>
  <si>
    <r>
      <rPr>
        <sz val="8"/>
        <rFont val="AcadNusx"/>
      </rPr>
      <t>(01) --------</t>
    </r>
    <r>
      <rPr>
        <b/>
        <sz val="8"/>
        <color rgb="FF0070C0"/>
        <rFont val="AcadNusx"/>
      </rPr>
      <t xml:space="preserve"> </t>
    </r>
    <r>
      <rPr>
        <b/>
        <sz val="8"/>
        <color theme="9" tint="-0.499984740745262"/>
        <rFont val="AcadNusx"/>
      </rPr>
      <t xml:space="preserve">(preiskuranti);  </t>
    </r>
  </si>
  <si>
    <t>danadgarebi meqanikuri energiis warmoebisa da gamoyenebisTvis</t>
  </si>
  <si>
    <r>
      <t xml:space="preserve">  </t>
    </r>
    <r>
      <rPr>
        <b/>
        <sz val="7"/>
        <color rgb="FF0070C0"/>
        <rFont val="AcadNusx"/>
      </rPr>
      <t>(03) jalambari …;</t>
    </r>
  </si>
  <si>
    <t xml:space="preserve">(03) ; </t>
  </si>
  <si>
    <t>(01) ---------</t>
  </si>
  <si>
    <t>tumboebis, sarqvelebis, onkanebisa da liTonis konteinerebis, aseve, manqana-danadgarebis SekeTeba da teqnikuri momsaxureba</t>
  </si>
  <si>
    <t>(01) გენერატორის შეკეთება</t>
  </si>
  <si>
    <t xml:space="preserve">(01) -silqneti-magTi-televizia. </t>
  </si>
  <si>
    <t>optikuri xelsawyoebi</t>
  </si>
  <si>
    <t>(03) fotoxafangi</t>
  </si>
  <si>
    <t xml:space="preserve">(01) - კოდექსი ; </t>
  </si>
  <si>
    <r>
      <t xml:space="preserve"> (03)  - -----------------. </t>
    </r>
    <r>
      <rPr>
        <sz val="7"/>
        <rFont val="AcadNusx"/>
      </rPr>
      <t xml:space="preserve"> </t>
    </r>
  </si>
  <si>
    <r>
      <t xml:space="preserve">(03) traqtorebi </t>
    </r>
    <r>
      <rPr>
        <b/>
        <sz val="6"/>
        <color rgb="FF0070C0"/>
        <rFont val="AcadNusx"/>
      </rPr>
      <t xml:space="preserve">(საბიუჯეტო სახსრები- საქმიანი ეზოების აღჭურვა სპეცტექნიკით </t>
    </r>
    <r>
      <rPr>
        <b/>
        <sz val="6"/>
        <color rgb="FF0070C0"/>
        <rFont val="Times New Roman"/>
        <family val="1"/>
      </rPr>
      <t>GCF</t>
    </r>
    <r>
      <rPr>
        <b/>
        <sz val="6"/>
        <color rgb="FF0070C0"/>
        <rFont val="AcadNusx"/>
      </rPr>
      <t xml:space="preserve">F-თანამონაწილეობა) </t>
    </r>
    <r>
      <rPr>
        <b/>
        <sz val="8"/>
        <color rgb="FF0070C0"/>
        <rFont val="AcadNusx"/>
      </rPr>
      <t xml:space="preserve"> </t>
    </r>
  </si>
  <si>
    <t>tele da radiosignalis mimRebebi da audio an videogamosaxulebis Camweri an aRwarmoebis aparatura</t>
  </si>
  <si>
    <t>(03) ------------------</t>
  </si>
  <si>
    <r>
      <t xml:space="preserve"> (01) 1100; </t>
    </r>
    <r>
      <rPr>
        <b/>
        <sz val="7"/>
        <color rgb="FF0070C0"/>
        <rFont val="AcadNusx"/>
      </rPr>
      <t xml:space="preserve">(03) 1500 ---.  </t>
    </r>
  </si>
  <si>
    <t>(03) --------- .</t>
  </si>
  <si>
    <t>arqiteqturuli da masTan dakavSirebuli momsaxurebebi</t>
  </si>
  <si>
    <t>II kv</t>
  </si>
  <si>
    <t>II-IV kv</t>
  </si>
  <si>
    <t>fexsacmeli</t>
  </si>
  <si>
    <t>sportuli saqoneli da aRWurviloba - (inventari)</t>
  </si>
  <si>
    <t xml:space="preserve">(01) - SekveTiT nabeWdi masala; stikerebi.Jurnalebi; </t>
  </si>
  <si>
    <t>kompiuteruli mowyobilobebi da aqsesuarebi</t>
  </si>
  <si>
    <t>sanavigacio da meteorologiuri xelsawyoebi</t>
  </si>
  <si>
    <t>sainJinro momsaxurebebi</t>
  </si>
  <si>
    <t xml:space="preserve">(03) 216500+101500=318000 kompi-printer. </t>
  </si>
  <si>
    <t>(01) 7000 - manqanebis gadaformeba; - .ელ. შტამპი 650. macneSi angariSi - 1000.</t>
  </si>
  <si>
    <t xml:space="preserve">(03)   kondicioneri </t>
  </si>
  <si>
    <t>gamagrilebeli da saventilacio mowyobilobebi</t>
  </si>
  <si>
    <r>
      <t>(01) 48004 - dalageba dasufTaveba: Tbilisi; (</t>
    </r>
    <r>
      <rPr>
        <b/>
        <sz val="7"/>
        <color rgb="FF0070C0"/>
        <rFont val="AcadNusx"/>
      </rPr>
      <t>03) + 64348.</t>
    </r>
  </si>
  <si>
    <r>
      <t xml:space="preserve">(01) 8000 Stenderebi; </t>
    </r>
    <r>
      <rPr>
        <b/>
        <sz val="7"/>
        <color rgb="FF0070C0"/>
        <rFont val="AcadNusx"/>
      </rPr>
      <t>(03) 1000-875=125 funjebi.</t>
    </r>
  </si>
  <si>
    <r>
      <t xml:space="preserve">(01) 140000 - remonti; </t>
    </r>
    <r>
      <rPr>
        <b/>
        <sz val="7"/>
        <color rgb="FF0070C0"/>
        <rFont val="AcadNusx"/>
      </rPr>
      <t>(03) 512000-300=511700 ----.</t>
    </r>
    <r>
      <rPr>
        <sz val="7"/>
        <rFont val="AcadNusx"/>
      </rPr>
      <t xml:space="preserve"> </t>
    </r>
    <r>
      <rPr>
        <b/>
        <sz val="7"/>
        <rFont val="AcadNusx"/>
      </rPr>
      <t>(preiskuranti)</t>
    </r>
    <r>
      <rPr>
        <sz val="7"/>
        <rFont val="AcadNusx"/>
      </rPr>
      <t xml:space="preserve"> </t>
    </r>
  </si>
  <si>
    <t xml:space="preserve">(01) recxva -------. </t>
  </si>
  <si>
    <r>
      <t xml:space="preserve">(01) 400380; </t>
    </r>
    <r>
      <rPr>
        <b/>
        <sz val="7"/>
        <color rgb="FF0070C0"/>
        <rFont val="AcadNusx"/>
      </rPr>
      <t xml:space="preserve">(02) 2000+5000=7000 (03) 534220-50000=484220.   </t>
    </r>
  </si>
  <si>
    <r>
      <t xml:space="preserve">  </t>
    </r>
    <r>
      <rPr>
        <b/>
        <sz val="7"/>
        <color rgb="FF0070C0"/>
        <rFont val="AcadNusx"/>
      </rPr>
      <t xml:space="preserve">(02) 7070 abrebi; </t>
    </r>
  </si>
  <si>
    <t>III kv</t>
  </si>
  <si>
    <t>III-IV kv</t>
  </si>
  <si>
    <r>
      <rPr>
        <sz val="8"/>
        <rFont val="AcadNusx"/>
      </rPr>
      <t xml:space="preserve">(01) 520 ---- ; </t>
    </r>
    <r>
      <rPr>
        <b/>
        <sz val="8"/>
        <color rgb="FF0070C0"/>
        <rFont val="AcadNusx"/>
      </rPr>
      <t>(02) 1000+7600=8600 - mzomi.</t>
    </r>
  </si>
  <si>
    <t>(03) focxi-----</t>
  </si>
  <si>
    <t>xelsawyoebi, saketebi, gasaRebebi, anjamebi, damWerebi, Wajvebi da zambarebi/resorebi</t>
  </si>
  <si>
    <r>
      <rPr>
        <b/>
        <sz val="7"/>
        <color rgb="FF0070C0"/>
        <rFont val="AcadNusx"/>
      </rPr>
      <t>(02) 584000-7600=576400 damzadeba;</t>
    </r>
    <r>
      <rPr>
        <sz val="7"/>
        <color rgb="FF0070C0"/>
        <rFont val="AcadNusx"/>
      </rPr>
      <t xml:space="preserve"> </t>
    </r>
    <r>
      <rPr>
        <b/>
        <sz val="7"/>
        <color rgb="FF0070C0"/>
        <rFont val="AcadNusx"/>
      </rPr>
      <t>damzadeba;</t>
    </r>
    <r>
      <rPr>
        <sz val="7"/>
        <color rgb="FF0070C0"/>
        <rFont val="AcadNusx"/>
      </rPr>
      <t xml:space="preserve"> </t>
    </r>
    <r>
      <rPr>
        <b/>
        <sz val="7"/>
        <color rgb="FF0070C0"/>
        <rFont val="AcadNusx"/>
      </rPr>
      <t>(04) 250000 tyis inventarizacia.</t>
    </r>
  </si>
  <si>
    <r>
      <t xml:space="preserve">(01) 2000 elementebi - ; </t>
    </r>
    <r>
      <rPr>
        <b/>
        <sz val="7"/>
        <color rgb="FF0070C0"/>
        <rFont val="AcadNusx"/>
      </rPr>
      <t>(03) +3150</t>
    </r>
  </si>
  <si>
    <r>
      <t>(</t>
    </r>
    <r>
      <rPr>
        <b/>
        <sz val="7"/>
        <color rgb="FF0070C0"/>
        <rFont val="AcadNusx"/>
      </rPr>
      <t>(03) +3150</t>
    </r>
  </si>
  <si>
    <r>
      <rPr>
        <sz val="7"/>
        <rFont val="AcadNusx"/>
      </rPr>
      <t xml:space="preserve">(01) 313880-100=313780 (cageri-oni); </t>
    </r>
    <r>
      <rPr>
        <b/>
        <sz val="7"/>
        <color rgb="FF0070C0"/>
        <rFont val="AcadNusx"/>
      </rPr>
      <t xml:space="preserve"> (03) 5838270-20000=5818270; </t>
    </r>
    <r>
      <rPr>
        <b/>
        <sz val="6"/>
        <color rgb="FF0070C0"/>
        <rFont val="AcadNusx"/>
      </rPr>
      <t>15 საქმიანი ეზოს მოწყობა; (ქვემო ქართლი, დმანისი; წალკა; თეთრიწყარო; შიდა ქართლი, ხაშური; იმერეთი, ხარაგაული; ხევი; ვანი; სამეგრელო-ზემო სვანეთი, ჩხუროწყუ; სენაკი; აბაშა; მესტია.).</t>
    </r>
  </si>
  <si>
    <r>
      <t xml:space="preserve">(01) 230000 - remonti; </t>
    </r>
    <r>
      <rPr>
        <b/>
        <sz val="7"/>
        <color rgb="FF0070C0"/>
        <rFont val="AcadNusx"/>
      </rPr>
      <t>(03) 218797+3100=221897.</t>
    </r>
    <r>
      <rPr>
        <sz val="7"/>
        <rFont val="AcadNusx"/>
      </rPr>
      <t xml:space="preserve"> </t>
    </r>
    <r>
      <rPr>
        <b/>
        <sz val="7"/>
        <rFont val="AcadNusx"/>
      </rPr>
      <t>(preiskuranti)</t>
    </r>
    <r>
      <rPr>
        <sz val="7"/>
        <rFont val="AcadNusx"/>
      </rPr>
      <t xml:space="preserve"> </t>
    </r>
  </si>
  <si>
    <r>
      <t>(01) 171161 finansebi -komp.momsax da marTvis sistema; edoki;'</t>
    </r>
    <r>
      <rPr>
        <b/>
        <sz val="7"/>
        <color rgb="FF0070C0"/>
        <rFont val="AcadNusx"/>
      </rPr>
      <t>(03) 169480+33900=203380 მერქნული ბაზა</t>
    </r>
  </si>
  <si>
    <t>(01) ------------------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</si>
  <si>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
06 seqtemberi 2024 weli</t>
    </r>
  </si>
  <si>
    <r>
      <rPr>
        <sz val="7"/>
        <rFont val="AcadNusx"/>
      </rPr>
      <t>(01) +500;</t>
    </r>
    <r>
      <rPr>
        <b/>
        <sz val="7"/>
        <color rgb="FF0070C0"/>
        <rFont val="AcadNusx"/>
      </rPr>
      <t xml:space="preserve"> (03) +3800. ------------------</t>
    </r>
  </si>
  <si>
    <r>
      <t xml:space="preserve">(01) 123 - -იარაღი; </t>
    </r>
    <r>
      <rPr>
        <b/>
        <sz val="7"/>
        <color rgb="FF0070C0"/>
        <rFont val="AcadNusx"/>
      </rPr>
      <t>(03) +3150.</t>
    </r>
  </si>
  <si>
    <t xml:space="preserve">               danarTi #1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</si>
  <si>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06 seqtemberi 2024 weli</t>
    </r>
  </si>
  <si>
    <r>
      <t xml:space="preserve">4. dafinansebis wyaro                                                                                </t>
    </r>
    <r>
      <rPr>
        <b/>
        <sz val="9"/>
        <rFont val="AcadNusx"/>
      </rPr>
      <t>sakuTari saxsrebi</t>
    </r>
  </si>
  <si>
    <r>
      <rPr>
        <sz val="8"/>
        <rFont val="AcadNusx"/>
      </rPr>
      <t>(01) 888000</t>
    </r>
    <r>
      <rPr>
        <b/>
        <sz val="8"/>
        <rFont val="AcadNusx"/>
      </rPr>
      <t>;</t>
    </r>
    <r>
      <rPr>
        <b/>
        <sz val="8"/>
        <color rgb="FF0070C0"/>
        <rFont val="AcadNusx"/>
      </rPr>
      <t xml:space="preserve">   (02) 62150-16124=46026; (03) 250100-15476=234624 </t>
    </r>
  </si>
  <si>
    <t>09200000</t>
  </si>
  <si>
    <t>(03) 9900 zeTebi.</t>
  </si>
  <si>
    <t>(01) - zeTi.</t>
  </si>
  <si>
    <t>qviSa da Tixa</t>
  </si>
  <si>
    <t>(03)  qviSa-xreSi</t>
  </si>
  <si>
    <t>mosavlis asaRebi manqanebi</t>
  </si>
  <si>
    <t>(01) ---- - .</t>
  </si>
  <si>
    <t>specializebuli sasoflo-sameurneo an satyeo daniSnulebis manqana-danadgarebi</t>
  </si>
  <si>
    <t xml:space="preserve"> (03) ------------------- - </t>
  </si>
  <si>
    <t>samuSao tansacmeli, spectansacmeli da aqsesuarebi</t>
  </si>
  <si>
    <r>
      <t xml:space="preserve">(01) 2000 - xelTaTmanebi; </t>
    </r>
    <r>
      <rPr>
        <b/>
        <sz val="8"/>
        <color rgb="FF0070C0"/>
        <rFont val="AcadNusx"/>
      </rPr>
      <t>(02) 50+2000=2050;</t>
    </r>
  </si>
  <si>
    <t>garedan Casacmeli tansacmeli</t>
  </si>
  <si>
    <t>(01) ------</t>
  </si>
  <si>
    <t>(01) maisurebi;</t>
  </si>
  <si>
    <t>(01) saCuqrebi - .</t>
  </si>
  <si>
    <t xml:space="preserve">(01) fexsacmeli - </t>
  </si>
  <si>
    <t>sabargo nivTebi, sasarajo nakeTobebi, tomrebi da CanTebi</t>
  </si>
  <si>
    <t>(01) ნაჭრის ჩანთები - tomrebi- .</t>
  </si>
  <si>
    <t>teqstilis narTi da Zafi</t>
  </si>
  <si>
    <t xml:space="preserve">(01) Zafebi kapronis - ; </t>
  </si>
  <si>
    <t>tyavis, teqstilis, rezinisa da plastmasis narCeni</t>
  </si>
  <si>
    <t>(02) -----------</t>
  </si>
  <si>
    <t>nabeWdi wignebi, broSurebi da sainformacio furclebi</t>
  </si>
  <si>
    <t xml:space="preserve">(04) rukebis beWdva </t>
  </si>
  <si>
    <r>
      <t xml:space="preserve">(01) 5000 nabeWdi; </t>
    </r>
    <r>
      <rPr>
        <b/>
        <sz val="8"/>
        <color rgb="FF0070C0"/>
        <rFont val="AcadNusx"/>
      </rPr>
      <t>(02) + 1000</t>
    </r>
  </si>
  <si>
    <t>(01)  - bainderebi-failebi;   - bloknotebi;</t>
  </si>
  <si>
    <t xml:space="preserve"> sxvadasxva nabeWdi masala</t>
  </si>
  <si>
    <t>(01) muyaos serTifikati და ყდები - .</t>
  </si>
  <si>
    <t xml:space="preserve"> sufTa qimikatebi da sxvadasxva qimiuri nivTierebebis produqtebi</t>
  </si>
  <si>
    <t>(01) 8000 qaRaldi. kartrijebi.</t>
  </si>
  <si>
    <t>(01) savizito baraTebi,  konvertebi da feradi kartrijebi-melani - 0.</t>
  </si>
  <si>
    <t>(01) myari diski, klaviatura, mausebi</t>
  </si>
  <si>
    <t>eleqtroenergiis gamanawilebeli da sakontrolo aparatura</t>
  </si>
  <si>
    <t xml:space="preserve">(01) - damagrZ; </t>
  </si>
  <si>
    <t>izolirebuli mavTuli da kabeli</t>
  </si>
  <si>
    <r>
      <t xml:space="preserve">(01) 3000 - kabeleb; </t>
    </r>
    <r>
      <rPr>
        <b/>
        <sz val="8"/>
        <color rgb="FF0070C0"/>
        <rFont val="AcadNusx"/>
      </rPr>
      <t xml:space="preserve">(02) + 600. </t>
    </r>
  </si>
  <si>
    <t>eleqtromowyobilobebi da aparatura</t>
  </si>
  <si>
    <t>(01) -----. -</t>
  </si>
  <si>
    <r>
      <t xml:space="preserve">(01) 9000-9000=0 mobuluri; </t>
    </r>
    <r>
      <rPr>
        <b/>
        <sz val="8"/>
        <color rgb="FF0070C0"/>
        <rFont val="AcadNusx"/>
      </rPr>
      <t>(02) + 9000</t>
    </r>
  </si>
  <si>
    <t>samedicino mowyobilobebi</t>
  </si>
  <si>
    <r>
      <t>(</t>
    </r>
    <r>
      <rPr>
        <b/>
        <sz val="8"/>
        <color rgb="FF0070C0"/>
        <rFont val="AcadNusx"/>
      </rPr>
      <t>(02) 8324; (03) 1276+2100=3376.</t>
    </r>
  </si>
  <si>
    <t>avtosatransporto saualebebi</t>
  </si>
  <si>
    <r>
      <t xml:space="preserve"> </t>
    </r>
    <r>
      <rPr>
        <b/>
        <sz val="7"/>
        <color rgb="FF0070C0"/>
        <rFont val="AcadNusx"/>
      </rPr>
      <t>(03) -------------- .</t>
    </r>
  </si>
  <si>
    <r>
      <rPr>
        <sz val="8"/>
        <rFont val="AcadNusx"/>
      </rPr>
      <t xml:space="preserve">(01) 180000; </t>
    </r>
    <r>
      <rPr>
        <b/>
        <sz val="8"/>
        <color rgb="FF0070C0"/>
        <rFont val="AcadNusx"/>
      </rPr>
      <t>(03) 250000+8700=258700 saburavebi</t>
    </r>
  </si>
  <si>
    <t>motocikletebi, velosipedebi da motocikletis etlebi</t>
  </si>
  <si>
    <t>(01) - saburavi kvadrociklis</t>
  </si>
  <si>
    <t>sxvadasxva satransporto mowyobiloba da saTadarigo nawilebi</t>
  </si>
  <si>
    <r>
      <rPr>
        <sz val="8"/>
        <rFont val="AcadNusx"/>
      </rPr>
      <t>(01) - Slagbaumis nawilebi</t>
    </r>
    <r>
      <rPr>
        <b/>
        <sz val="8"/>
        <color rgb="FF0070C0"/>
        <rFont val="AcadNusx"/>
      </rPr>
      <t xml:space="preserve">; </t>
    </r>
  </si>
  <si>
    <t>(03)  saxanZro inventari. CaquCebi</t>
  </si>
  <si>
    <t>(01) iaraRi --------</t>
  </si>
  <si>
    <t>individualuri da damxmare mowyobilobebi</t>
  </si>
  <si>
    <t>(01) დროშა</t>
  </si>
  <si>
    <t>(01) sawvavmzomi</t>
  </si>
  <si>
    <t>sazomi xelsawyoebi</t>
  </si>
  <si>
    <t>(01) aveji.</t>
  </si>
  <si>
    <r>
      <rPr>
        <sz val="8"/>
        <rFont val="AcadNusx"/>
      </rPr>
      <t>(01)  - sarke, wvrilmanebi, Stenderi;</t>
    </r>
    <r>
      <rPr>
        <b/>
        <sz val="8"/>
        <color rgb="FF00B050"/>
        <rFont val="AcadNusx"/>
      </rPr>
      <t>.</t>
    </r>
    <r>
      <rPr>
        <b/>
        <sz val="8"/>
        <color rgb="FF0070C0"/>
        <rFont val="AcadNusx"/>
      </rPr>
      <t xml:space="preserve"> </t>
    </r>
    <r>
      <rPr>
        <sz val="8"/>
        <rFont val="AcadNusx"/>
      </rPr>
      <t>sarekl produqcia.</t>
    </r>
  </si>
  <si>
    <t>qsovilis nivTebi</t>
  </si>
  <si>
    <r>
      <t xml:space="preserve">(01) 6000 Jaluzebi. </t>
    </r>
    <r>
      <rPr>
        <b/>
        <sz val="7"/>
        <color rgb="FF0070C0"/>
        <rFont val="AcadNusx"/>
      </rPr>
      <t>(02) + 3000.</t>
    </r>
  </si>
  <si>
    <t>saojaxo teqnika</t>
  </si>
  <si>
    <t>(01) macivari gazqura</t>
  </si>
  <si>
    <t>sawmendi da saprialebeli produqcia</t>
  </si>
  <si>
    <t>(01) -----</t>
  </si>
  <si>
    <t>bunebrivi wyali</t>
  </si>
  <si>
    <t xml:space="preserve">(01)  wylebi dispenseris - </t>
  </si>
  <si>
    <t xml:space="preserve">(01)  - a; </t>
  </si>
  <si>
    <t>amwe da gadasazidi mowyobilobebi da maTi nawilebi</t>
  </si>
  <si>
    <t>(01) liftis nawilebi</t>
  </si>
  <si>
    <r>
      <t xml:space="preserve">(01) 9200-7400=1800 kondicioneri. </t>
    </r>
    <r>
      <rPr>
        <b/>
        <sz val="8"/>
        <color rgb="FF0070C0"/>
        <rFont val="AcadNusx"/>
      </rPr>
      <t xml:space="preserve">(03) +7400. </t>
    </r>
  </si>
  <si>
    <t>Carxebi</t>
  </si>
  <si>
    <t xml:space="preserve">(03) druJbis nawilebi </t>
  </si>
  <si>
    <r>
      <t xml:space="preserve">(01) 20000 ; </t>
    </r>
    <r>
      <rPr>
        <b/>
        <sz val="7"/>
        <color rgb="FF0070C0"/>
        <rFont val="AcadNusx"/>
      </rPr>
      <t>.</t>
    </r>
  </si>
  <si>
    <r>
      <t xml:space="preserve">(01) ------- ; </t>
    </r>
    <r>
      <rPr>
        <b/>
        <sz val="7"/>
        <color rgb="FF0070C0"/>
        <rFont val="AcadNusx"/>
      </rPr>
      <t>.</t>
    </r>
  </si>
  <si>
    <t>miwis saTxreli da saxapavi manqanebi da maTi (maTTan dakavSirebuli) nawilebi</t>
  </si>
  <si>
    <r>
      <t xml:space="preserve"> </t>
    </r>
    <r>
      <rPr>
        <b/>
        <sz val="7"/>
        <color rgb="FF0070C0"/>
        <rFont val="AcadNusx"/>
      </rPr>
      <t>(03) -------------- .buldozerebi-eskavatorebi</t>
    </r>
  </si>
  <si>
    <r>
      <rPr>
        <sz val="8"/>
        <rFont val="AcadNusx"/>
      </rPr>
      <t xml:space="preserve">(01) + 1000 mili; </t>
    </r>
    <r>
      <rPr>
        <b/>
        <sz val="8"/>
        <color rgb="FF0070C0"/>
        <rFont val="AcadNusx"/>
      </rPr>
      <t>(03) + 8000.</t>
    </r>
  </si>
  <si>
    <r>
      <t xml:space="preserve"> </t>
    </r>
    <r>
      <rPr>
        <sz val="7"/>
        <rFont val="AcadNusx"/>
      </rPr>
      <t xml:space="preserve"> (01)  …;</t>
    </r>
  </si>
  <si>
    <t>kabelebi, mavTulebi da maTTan dakavSirebuli masalebi</t>
  </si>
  <si>
    <t>(03)  ---------;</t>
  </si>
  <si>
    <t xml:space="preserve">(03) 200000+56650=256650 firniSebi; (02) 10000 abrebi; </t>
  </si>
  <si>
    <r>
      <t xml:space="preserve">(01) 9000-1800=7200 aitis xelsawyoebi. </t>
    </r>
    <r>
      <rPr>
        <b/>
        <sz val="7"/>
        <color rgb="FF0070C0"/>
        <rFont val="AcadNusx"/>
      </rPr>
      <t>(02) + 1800; (03) +500.</t>
    </r>
  </si>
  <si>
    <t>avzebi, rezervuarebi da konteinerebi; centraluri gaTbobis radiatorebi da boilerebi</t>
  </si>
  <si>
    <t>(03) saRebavebi.</t>
  </si>
  <si>
    <r>
      <rPr>
        <sz val="7"/>
        <rFont val="AcadNusx"/>
      </rPr>
      <t>(01) -</t>
    </r>
    <r>
      <rPr>
        <b/>
        <sz val="7"/>
        <color rgb="FF0070C0"/>
        <rFont val="AcadNusx"/>
      </rPr>
      <t>;</t>
    </r>
  </si>
  <si>
    <r>
      <t xml:space="preserve">(01) 788210-97800=690410. admn. ofisis remonti; </t>
    </r>
    <r>
      <rPr>
        <b/>
        <sz val="7"/>
        <color rgb="FF0070C0"/>
        <rFont val="AcadNusx"/>
      </rPr>
      <t>(03) + 700.</t>
    </r>
  </si>
  <si>
    <t>saqmiani garigebebisa da piradi saqmeebis marTvis programuli paketebi</t>
  </si>
  <si>
    <t>(01) orisis ganaxleba</t>
  </si>
  <si>
    <r>
      <rPr>
        <sz val="8"/>
        <rFont val="AcadNusx"/>
      </rPr>
      <t>(01) 330000 .</t>
    </r>
    <r>
      <rPr>
        <b/>
        <sz val="8"/>
        <color rgb="FF0070C0"/>
        <rFont val="AcadNusx"/>
      </rPr>
      <t xml:space="preserve"> (03) 534000-400000=134000 - remonti; </t>
    </r>
    <r>
      <rPr>
        <sz val="8"/>
        <rFont val="AcadNusx"/>
      </rPr>
      <t xml:space="preserve"> </t>
    </r>
    <r>
      <rPr>
        <b/>
        <sz val="8"/>
        <color rgb="FF0070C0"/>
        <rFont val="AcadNusx"/>
      </rPr>
      <t xml:space="preserve"> </t>
    </r>
    <r>
      <rPr>
        <b/>
        <sz val="8"/>
        <color theme="9" tint="-0.499984740745262"/>
        <rFont val="AcadNusx"/>
      </rPr>
      <t xml:space="preserve">(preiskuranti); </t>
    </r>
  </si>
  <si>
    <r>
      <rPr>
        <sz val="8"/>
        <rFont val="AcadNusx"/>
      </rPr>
      <t>(01) 230000</t>
    </r>
    <r>
      <rPr>
        <b/>
        <sz val="8"/>
        <rFont val="AcadNusx"/>
      </rPr>
      <t>.</t>
    </r>
    <r>
      <rPr>
        <b/>
        <sz val="8"/>
        <color rgb="FF0070C0"/>
        <rFont val="AcadNusx"/>
      </rPr>
      <t xml:space="preserve"> (03) 286000 - remonti </t>
    </r>
    <r>
      <rPr>
        <b/>
        <sz val="8"/>
        <color theme="9" tint="-0.499984740745262"/>
        <rFont val="AcadNusx"/>
      </rPr>
      <t xml:space="preserve">(preiskuranti);  </t>
    </r>
  </si>
  <si>
    <r>
      <rPr>
        <b/>
        <sz val="8"/>
        <color rgb="FF0070C0"/>
        <rFont val="AcadNusx"/>
      </rPr>
      <t>(03) benzoxerxebis SekeTeba</t>
    </r>
    <r>
      <rPr>
        <sz val="8"/>
        <rFont val="AcadNusx"/>
      </rPr>
      <t xml:space="preserve">. </t>
    </r>
    <r>
      <rPr>
        <b/>
        <sz val="8"/>
        <color theme="9" tint="-0.499984740745262"/>
        <rFont val="AcadNusx"/>
      </rPr>
      <t>(preiskuranti); .</t>
    </r>
  </si>
  <si>
    <t xml:space="preserve">(03) 5000+3990=8990; (02) 1000 xe-tyis gadazidva -  </t>
  </si>
  <si>
    <t xml:space="preserve">(01) 10000 siTiparki' </t>
  </si>
  <si>
    <t>(01)  30000 jipiesmomsaxufreba</t>
  </si>
  <si>
    <t>wylis ganawileba da masTan dakavSirebuli momsaxurebebi</t>
  </si>
  <si>
    <t>gazis ganawileba da masaTan dakavSirebuli momsaxurebebi</t>
  </si>
  <si>
    <t xml:space="preserve">(01) - gazis Seyvana da daqselva; </t>
  </si>
  <si>
    <t>(01) - manqan..დაზღვ</t>
  </si>
  <si>
    <t>teqnikuri Semowmeba, analizi da sakonsultacio momsaxurebebi</t>
  </si>
  <si>
    <r>
      <rPr>
        <sz val="8"/>
        <rFont val="AcadNusx"/>
      </rPr>
      <t>(01) 15000 teq.daTvaliereba - ;</t>
    </r>
    <r>
      <rPr>
        <b/>
        <sz val="8"/>
        <color rgb="FF0070C0"/>
        <rFont val="AcadNusx"/>
      </rPr>
      <t xml:space="preserve"> (03)  -teq.daTvaliereba - .</t>
    </r>
  </si>
  <si>
    <t>(03) rukebis Cawera</t>
  </si>
  <si>
    <r>
      <t>(01) domenis 30+100=130 lari</t>
    </r>
    <r>
      <rPr>
        <sz val="8"/>
        <rFont val="Times New Roman"/>
        <family val="1"/>
      </rPr>
      <t>;</t>
    </r>
  </si>
  <si>
    <t>WaburRilis koSkuris ganTavsebasTan dakavSirebuli momsaxurebebi</t>
  </si>
  <si>
    <t xml:space="preserve">  (01)  …WaburRili;</t>
  </si>
  <si>
    <t>(02) 128200+550000=678200 sanitar; (03) 11380100-73340=11306760  damzadeba;
 (04) 686300 - inventariz.</t>
  </si>
  <si>
    <t>mebaRCeobasTan dakavSirebuli momsaxurebebi</t>
  </si>
  <si>
    <t xml:space="preserve">(02) ------------- -  </t>
  </si>
  <si>
    <t xml:space="preserve"> bazris kvleva da ekonomikuri kvleva; gamokiTxvebi da statistika</t>
  </si>
  <si>
    <r>
      <t xml:space="preserve">(01) ; </t>
    </r>
    <r>
      <rPr>
        <sz val="7"/>
        <rFont val="Times New Roman"/>
        <family val="1"/>
      </rPr>
      <t>FACEBOOK-</t>
    </r>
    <r>
      <rPr>
        <sz val="7"/>
        <rFont val="AcadNusx"/>
      </rPr>
      <t>ze reklama</t>
    </r>
  </si>
  <si>
    <t>biznessa da menejmentTan dakavSirebuli konsultaciebi da momsaxurebebi</t>
  </si>
  <si>
    <t>(01) ; qonebis Sefaseba</t>
  </si>
  <si>
    <t xml:space="preserve"> beWdva da masTan dakavSirebuli momsaxurebebi</t>
  </si>
  <si>
    <t xml:space="preserve">(01) beWdva </t>
  </si>
  <si>
    <t xml:space="preserve">(01) el.auqcioni - 
</t>
  </si>
  <si>
    <t xml:space="preserve">(01) RonisZiebis organizeba
</t>
  </si>
  <si>
    <t>Camdinare wylebTan dakavSirebuli momsaxurebebi</t>
  </si>
  <si>
    <t>(01) ------------- ;</t>
  </si>
  <si>
    <t xml:space="preserve">(01) dalageba dasufTaveba: regioni </t>
  </si>
  <si>
    <t>kino da videomomsaxurebebi</t>
  </si>
  <si>
    <t>sxvadasxva momsaxureba</t>
  </si>
  <si>
    <t>(01) manqanebis minebis daburva - ;</t>
  </si>
  <si>
    <t xml:space="preserve">finansuri departamentis, Sesyidvebis sammarTvelos ufrosi                                                                                     </t>
  </si>
  <si>
    <t xml:space="preserve">                  danarTi #3</t>
  </si>
  <si>
    <t xml:space="preserve">             saxelmwifo Sesyidvebis wliuri gegmis forma 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</si>
  <si>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 30 ianvari 2024 weli</t>
    </r>
  </si>
  <si>
    <r>
      <t xml:space="preserve">4. dafinansebis wyaro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cadNusx"/>
      </rPr>
      <t>granti (</t>
    </r>
    <r>
      <rPr>
        <b/>
        <sz val="9"/>
        <rFont val="Times New Roman"/>
        <family val="1"/>
      </rPr>
      <t>BTC Co</t>
    </r>
    <r>
      <rPr>
        <b/>
        <sz val="9"/>
        <rFont val="AcadNusx"/>
      </rPr>
      <t>) (</t>
    </r>
    <r>
      <rPr>
        <b/>
        <sz val="9"/>
        <rFont val="Times New Roman"/>
        <family val="1"/>
      </rPr>
      <t>SCP Co</t>
    </r>
    <r>
      <rPr>
        <b/>
        <sz val="9"/>
        <rFont val="AcadNusx"/>
      </rPr>
      <t>)                                                                                  (xelSekrulebis # 32) (registraciis #1254)</t>
    </r>
  </si>
  <si>
    <t xml:space="preserve">finansuri departamentis, Sesyidvebis sammarTvelos ufrosi                                                                                                 </t>
  </si>
  <si>
    <t xml:space="preserve">                  danarTi #4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</si>
  <si>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06 seqtemberi 2024 weli</t>
    </r>
  </si>
  <si>
    <r>
      <t xml:space="preserve">4. dafinansebis wyaro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cadNusx"/>
      </rPr>
      <t xml:space="preserve">granti </t>
    </r>
    <r>
      <rPr>
        <b/>
        <sz val="9"/>
        <rFont val="Sylfaen"/>
        <family val="1"/>
      </rPr>
      <t xml:space="preserve"> (GIZ) (GCF)      </t>
    </r>
    <r>
      <rPr>
        <b/>
        <sz val="9"/>
        <rFont val="AcadNusx"/>
      </rPr>
      <t xml:space="preserve">                                                                                       </t>
    </r>
  </si>
  <si>
    <t>ssip - erovnuli satyeo saagento</t>
  </si>
  <si>
    <t>კომპიუტერი, ლეპტოპი</t>
  </si>
  <si>
    <t>საჩეხი</t>
  </si>
  <si>
    <t>საქ ეზოები</t>
  </si>
  <si>
    <t>sastumros momsaxureba</t>
  </si>
  <si>
    <t>saavtomobilo transportis momsaxurebebi</t>
  </si>
  <si>
    <t>sabanko da sainvesticio momsaxurebebi</t>
  </si>
  <si>
    <t>momsaxurebebi kvlevisa da eqsperimentuli ganviTarebis sferoSi</t>
  </si>
  <si>
    <t>mravalwliani (2 weli)</t>
  </si>
  <si>
    <t>ინვენტარიზაცია</t>
  </si>
  <si>
    <t>sabuRaltro, auditoruli da fiskaluri momsaxurebebi</t>
  </si>
  <si>
    <t>ofisis muSaobis uzrunvelyofasTan dakavSirebuli momsaxurebebi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</si>
</sst>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45" x14ac:knownFonts="1">
    <font>
      <sz val="10"/>
      <name val="Arial"/>
      <charset val="204"/>
    </font>
    <font>
      <sz val="8"/>
      <name val="Arial"/>
      <family val="2"/>
      <charset val="204"/>
    </font>
    <font>
      <b/>
      <sz val="10"/>
      <name val="AcadNusx"/>
    </font>
    <font>
      <sz val="10"/>
      <name val="AcadNusx"/>
    </font>
    <font>
      <sz val="7"/>
      <name val="AcadNusx"/>
    </font>
    <font>
      <sz val="6"/>
      <name val="AcadNusx"/>
    </font>
    <font>
      <sz val="9"/>
      <name val="AcadNusx"/>
    </font>
    <font>
      <sz val="8"/>
      <name val="AcadNusx"/>
    </font>
    <font>
      <sz val="10"/>
      <color rgb="FFFF0000"/>
      <name val="AcadNusx"/>
    </font>
    <font>
      <b/>
      <sz val="8"/>
      <name val="AcadNusx"/>
    </font>
    <font>
      <sz val="7"/>
      <name val="Calibri"/>
      <family val="2"/>
      <charset val="204"/>
    </font>
    <font>
      <sz val="10"/>
      <name val="Arial"/>
      <family val="2"/>
    </font>
    <font>
      <sz val="6"/>
      <color rgb="FFFF0000"/>
      <name val="AcadNusx"/>
    </font>
    <font>
      <sz val="8"/>
      <color rgb="FFFF0000"/>
      <name val="AcadNusx"/>
    </font>
    <font>
      <b/>
      <i/>
      <sz val="9"/>
      <name val="AcadNusx"/>
    </font>
    <font>
      <b/>
      <sz val="9"/>
      <name val="AcadNusx"/>
    </font>
    <font>
      <sz val="9"/>
      <name val="Arial"/>
      <family val="2"/>
    </font>
    <font>
      <b/>
      <sz val="10"/>
      <color rgb="FFFF0000"/>
      <name val="AcadNusx"/>
    </font>
    <font>
      <b/>
      <sz val="9"/>
      <color rgb="FF00B050"/>
      <name val="AcadNusx"/>
    </font>
    <font>
      <b/>
      <sz val="9"/>
      <color rgb="FFFF0000"/>
      <name val="AcadNusx"/>
    </font>
    <font>
      <b/>
      <sz val="7"/>
      <color rgb="FF0070C0"/>
      <name val="AcadNusx"/>
    </font>
    <font>
      <sz val="7"/>
      <color rgb="FFFF0000"/>
      <name val="AcadNusx"/>
    </font>
    <font>
      <b/>
      <sz val="7"/>
      <name val="AcadNusx"/>
    </font>
    <font>
      <b/>
      <sz val="7"/>
      <color theme="9" tint="-0.499984740745262"/>
      <name val="AcadNusx"/>
    </font>
    <font>
      <sz val="7"/>
      <name val="Times New Roman"/>
      <family val="1"/>
    </font>
    <font>
      <sz val="7"/>
      <color rgb="FF0070C0"/>
      <name val="AcadNusx"/>
    </font>
    <font>
      <sz val="16"/>
      <name val="AcadNusx"/>
    </font>
    <font>
      <b/>
      <sz val="12"/>
      <name val="AcadNusx"/>
    </font>
    <font>
      <b/>
      <sz val="10"/>
      <color rgb="FF00B050"/>
      <name val="AcadNusx"/>
    </font>
    <font>
      <sz val="10"/>
      <color rgb="FF00B050"/>
      <name val="AcadNusx"/>
    </font>
    <font>
      <b/>
      <sz val="8"/>
      <color rgb="FF0070C0"/>
      <name val="AcadNusx"/>
    </font>
    <font>
      <b/>
      <sz val="6"/>
      <color rgb="FF0070C0"/>
      <name val="AcadNusx"/>
    </font>
    <font>
      <b/>
      <sz val="6"/>
      <color rgb="FF0070C0"/>
      <name val="Times New Roman"/>
      <family val="1"/>
    </font>
    <font>
      <b/>
      <sz val="8"/>
      <color theme="9" tint="-0.499984740745262"/>
      <name val="AcadNusx"/>
    </font>
    <font>
      <sz val="9"/>
      <color rgb="FFFF0000"/>
      <name val="AcadNusx"/>
    </font>
    <font>
      <b/>
      <sz val="11"/>
      <name val="AcadNusx"/>
    </font>
    <font>
      <sz val="11"/>
      <name val="AcadNusx"/>
    </font>
    <font>
      <b/>
      <sz val="8"/>
      <color rgb="FF00B050"/>
      <name val="AcadNusx"/>
    </font>
    <font>
      <sz val="9"/>
      <color theme="1"/>
      <name val="AcadNusx"/>
    </font>
    <font>
      <sz val="8"/>
      <name val="Times New Roman"/>
      <family val="1"/>
    </font>
    <font>
      <sz val="8"/>
      <name val="Times New Roman"/>
      <family val="1"/>
      <charset val="204"/>
    </font>
    <font>
      <b/>
      <sz val="9"/>
      <name val="Times New Roman"/>
      <family val="1"/>
    </font>
    <font>
      <b/>
      <sz val="10"/>
      <color rgb="FF0070C0"/>
      <name val="AcadNusx"/>
    </font>
    <font>
      <b/>
      <sz val="9"/>
      <name val="Sylfaen"/>
      <family val="1"/>
    </font>
    <font>
      <sz val="8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02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0" borderId="0" xfId="1" applyNumberFormat="1" applyFont="1" applyFill="1" applyAlignment="1">
      <alignment vertical="center" wrapText="1"/>
    </xf>
    <xf numFmtId="164" fontId="7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" fontId="2" fillId="0" borderId="0" xfId="1" applyNumberFormat="1" applyFont="1" applyFill="1" applyAlignment="1">
      <alignment horizontal="center" vertical="center" wrapText="1"/>
    </xf>
    <xf numFmtId="1" fontId="17" fillId="0" borderId="0" xfId="0" applyNumberFormat="1" applyFont="1" applyFill="1" applyAlignment="1">
      <alignment horizontal="center" vertical="center" wrapText="1"/>
    </xf>
    <xf numFmtId="1" fontId="3" fillId="0" borderId="0" xfId="1" applyNumberFormat="1" applyFont="1" applyFill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1" fontId="3" fillId="0" borderId="0" xfId="1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19" fillId="0" borderId="1" xfId="1" applyNumberFormat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1" fontId="19" fillId="0" borderId="1" xfId="1" applyNumberFormat="1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" fontId="3" fillId="0" borderId="3" xfId="1" applyNumberFormat="1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1" fontId="19" fillId="2" borderId="1" xfId="1" applyNumberFormat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19" fillId="2" borderId="1" xfId="1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1" fontId="35" fillId="0" borderId="3" xfId="0" applyNumberFormat="1" applyFont="1" applyBorder="1" applyAlignment="1">
      <alignment horizontal="center" vertical="center" wrapText="1"/>
    </xf>
    <xf numFmtId="1" fontId="3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35" fillId="0" borderId="0" xfId="1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1" fontId="27" fillId="0" borderId="0" xfId="1" applyNumberFormat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1" fontId="38" fillId="2" borderId="1" xfId="1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3" fontId="3" fillId="0" borderId="0" xfId="1" applyFont="1" applyFill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1" fontId="7" fillId="0" borderId="0" xfId="0" applyNumberFormat="1" applyFont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horizontal="center" vertical="center" wrapText="1"/>
    </xf>
    <xf numFmtId="43" fontId="7" fillId="0" borderId="0" xfId="1" applyFont="1" applyFill="1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3" fontId="7" fillId="0" borderId="0" xfId="1" applyFont="1" applyFill="1" applyAlignment="1">
      <alignment horizontal="center" vertical="center" wrapText="1"/>
    </xf>
    <xf numFmtId="43" fontId="7" fillId="0" borderId="0" xfId="0" applyNumberFormat="1" applyFont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44" fillId="0" borderId="0" xfId="0" applyNumberFormat="1" applyFont="1" applyAlignment="1">
      <alignment horizontal="center" vertical="center" wrapText="1"/>
    </xf>
    <xf numFmtId="1" fontId="2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110</xdr:row>
      <xdr:rowOff>0</xdr:rowOff>
    </xdr:from>
    <xdr:to>
      <xdr:col>5</xdr:col>
      <xdr:colOff>981075</xdr:colOff>
      <xdr:row>110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305175" y="185070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113</xdr:row>
      <xdr:rowOff>9525</xdr:rowOff>
    </xdr:from>
    <xdr:to>
      <xdr:col>5</xdr:col>
      <xdr:colOff>981075</xdr:colOff>
      <xdr:row>113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3314700" y="19450050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110</xdr:row>
      <xdr:rowOff>9525</xdr:rowOff>
    </xdr:from>
    <xdr:to>
      <xdr:col>5</xdr:col>
      <xdr:colOff>971550</xdr:colOff>
      <xdr:row>110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3314700" y="18516600"/>
          <a:ext cx="13716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119</xdr:row>
      <xdr:rowOff>0</xdr:rowOff>
    </xdr:from>
    <xdr:to>
      <xdr:col>5</xdr:col>
      <xdr:colOff>981075</xdr:colOff>
      <xdr:row>119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A49DF999-BB59-4153-8BF5-BB96B9C6CE5C}"/>
            </a:ext>
          </a:extLst>
        </xdr:cNvPr>
        <xdr:cNvSpPr>
          <a:spLocks noChangeShapeType="1"/>
        </xdr:cNvSpPr>
      </xdr:nvSpPr>
      <xdr:spPr bwMode="auto">
        <a:xfrm>
          <a:off x="4505325" y="50606325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124</xdr:row>
      <xdr:rowOff>9525</xdr:rowOff>
    </xdr:from>
    <xdr:to>
      <xdr:col>5</xdr:col>
      <xdr:colOff>981075</xdr:colOff>
      <xdr:row>124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F54EEA47-D29E-4239-9F2F-FB55F5BDB677}"/>
            </a:ext>
          </a:extLst>
        </xdr:cNvPr>
        <xdr:cNvSpPr>
          <a:spLocks noChangeShapeType="1"/>
        </xdr:cNvSpPr>
      </xdr:nvSpPr>
      <xdr:spPr bwMode="auto">
        <a:xfrm flipV="1">
          <a:off x="4505325" y="51558825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119</xdr:row>
      <xdr:rowOff>9525</xdr:rowOff>
    </xdr:from>
    <xdr:to>
      <xdr:col>5</xdr:col>
      <xdr:colOff>971550</xdr:colOff>
      <xdr:row>119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FAF89B1C-A6DE-4B67-8F6D-7D74CE5AC3ED}"/>
            </a:ext>
          </a:extLst>
        </xdr:cNvPr>
        <xdr:cNvSpPr>
          <a:spLocks noChangeShapeType="1"/>
        </xdr:cNvSpPr>
      </xdr:nvSpPr>
      <xdr:spPr bwMode="auto">
        <a:xfrm flipV="1">
          <a:off x="4505325" y="50615850"/>
          <a:ext cx="23526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17</xdr:row>
      <xdr:rowOff>0</xdr:rowOff>
    </xdr:from>
    <xdr:to>
      <xdr:col>5</xdr:col>
      <xdr:colOff>981075</xdr:colOff>
      <xdr:row>17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219345B5-E238-48C9-BBB0-1C5DC0497941}"/>
            </a:ext>
          </a:extLst>
        </xdr:cNvPr>
        <xdr:cNvSpPr>
          <a:spLocks noChangeShapeType="1"/>
        </xdr:cNvSpPr>
      </xdr:nvSpPr>
      <xdr:spPr bwMode="auto">
        <a:xfrm>
          <a:off x="5124450" y="54006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22</xdr:row>
      <xdr:rowOff>9525</xdr:rowOff>
    </xdr:from>
    <xdr:to>
      <xdr:col>5</xdr:col>
      <xdr:colOff>981075</xdr:colOff>
      <xdr:row>22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1CA3013-FC21-460C-98CB-798441BEFB60}"/>
            </a:ext>
          </a:extLst>
        </xdr:cNvPr>
        <xdr:cNvSpPr>
          <a:spLocks noChangeShapeType="1"/>
        </xdr:cNvSpPr>
      </xdr:nvSpPr>
      <xdr:spPr bwMode="auto">
        <a:xfrm flipV="1">
          <a:off x="5133975" y="667702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17</xdr:row>
      <xdr:rowOff>9525</xdr:rowOff>
    </xdr:from>
    <xdr:to>
      <xdr:col>5</xdr:col>
      <xdr:colOff>971550</xdr:colOff>
      <xdr:row>17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6A495DEE-BD5A-4688-96A1-E93F3522F0C0}"/>
            </a:ext>
          </a:extLst>
        </xdr:cNvPr>
        <xdr:cNvSpPr>
          <a:spLocks noChangeShapeType="1"/>
        </xdr:cNvSpPr>
      </xdr:nvSpPr>
      <xdr:spPr bwMode="auto">
        <a:xfrm flipV="1">
          <a:off x="5133975" y="5410200"/>
          <a:ext cx="1628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39</xdr:row>
      <xdr:rowOff>0</xdr:rowOff>
    </xdr:from>
    <xdr:to>
      <xdr:col>5</xdr:col>
      <xdr:colOff>981075</xdr:colOff>
      <xdr:row>39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DBD3FDE-893F-4F59-B58F-6AAAC9AC6F28}"/>
            </a:ext>
          </a:extLst>
        </xdr:cNvPr>
        <xdr:cNvSpPr>
          <a:spLocks noChangeShapeType="1"/>
        </xdr:cNvSpPr>
      </xdr:nvSpPr>
      <xdr:spPr bwMode="auto">
        <a:xfrm>
          <a:off x="5124450" y="14106525"/>
          <a:ext cx="1771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44</xdr:row>
      <xdr:rowOff>9525</xdr:rowOff>
    </xdr:from>
    <xdr:to>
      <xdr:col>5</xdr:col>
      <xdr:colOff>981075</xdr:colOff>
      <xdr:row>44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2E8CEA8B-4E49-4DA1-BCF9-EBE75F214505}"/>
            </a:ext>
          </a:extLst>
        </xdr:cNvPr>
        <xdr:cNvSpPr>
          <a:spLocks noChangeShapeType="1"/>
        </xdr:cNvSpPr>
      </xdr:nvSpPr>
      <xdr:spPr bwMode="auto">
        <a:xfrm flipV="1">
          <a:off x="5133975" y="153828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39</xdr:row>
      <xdr:rowOff>9525</xdr:rowOff>
    </xdr:from>
    <xdr:to>
      <xdr:col>5</xdr:col>
      <xdr:colOff>971550</xdr:colOff>
      <xdr:row>39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108CAF07-3FF8-4322-8F4C-FBEC79910088}"/>
            </a:ext>
          </a:extLst>
        </xdr:cNvPr>
        <xdr:cNvSpPr>
          <a:spLocks noChangeShapeType="1"/>
        </xdr:cNvSpPr>
      </xdr:nvSpPr>
      <xdr:spPr bwMode="auto">
        <a:xfrm flipV="1">
          <a:off x="5133975" y="14116050"/>
          <a:ext cx="1762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4"/>
  <sheetViews>
    <sheetView tabSelected="1" view="pageBreakPreview" topLeftCell="A10" zoomScale="145" zoomScaleNormal="145" zoomScaleSheetLayoutView="145" workbookViewId="0">
      <selection activeCell="D17" sqref="D17"/>
    </sheetView>
  </sheetViews>
  <sheetFormatPr defaultRowHeight="13.5" x14ac:dyDescent="0.2"/>
  <cols>
    <col min="1" max="1" width="3.85546875" style="65" customWidth="1"/>
    <col min="2" max="2" width="10" style="65" customWidth="1"/>
    <col min="3" max="3" width="55.5703125" style="31" customWidth="1"/>
    <col min="4" max="4" width="11.42578125" style="3" customWidth="1"/>
    <col min="5" max="5" width="10.42578125" style="31" customWidth="1"/>
    <col min="6" max="6" width="12.42578125" style="31" bestFit="1" customWidth="1"/>
    <col min="7" max="7" width="10.7109375" style="31" customWidth="1"/>
    <col min="8" max="8" width="43.5703125" style="31" customWidth="1"/>
    <col min="9" max="9" width="23.140625" style="7" hidden="1" customWidth="1"/>
    <col min="10" max="10" width="21.42578125" style="7" hidden="1" customWidth="1"/>
    <col min="11" max="11" width="20.85546875" style="6" customWidth="1"/>
    <col min="12" max="12" width="9.140625" style="31"/>
    <col min="13" max="16384" width="9.140625" style="2"/>
  </cols>
  <sheetData>
    <row r="1" spans="1:12" ht="6" customHeight="1" x14ac:dyDescent="0.2"/>
    <row r="2" spans="1:12" s="10" customFormat="1" ht="23.25" customHeight="1" x14ac:dyDescent="0.2">
      <c r="A2" s="31"/>
      <c r="B2" s="31"/>
      <c r="C2" s="31"/>
      <c r="D2" s="3"/>
      <c r="E2" s="31"/>
      <c r="F2" s="31"/>
      <c r="G2" s="31"/>
      <c r="H2" s="17" t="s">
        <v>40</v>
      </c>
      <c r="I2" s="7"/>
      <c r="J2" s="7"/>
      <c r="K2" s="8"/>
      <c r="L2" s="8"/>
    </row>
    <row r="3" spans="1:12" s="10" customFormat="1" ht="20.25" customHeight="1" x14ac:dyDescent="0.2">
      <c r="A3" s="31"/>
      <c r="B3" s="31"/>
      <c r="C3" s="80" t="s">
        <v>26</v>
      </c>
      <c r="D3" s="80"/>
      <c r="E3" s="80"/>
      <c r="F3" s="80"/>
      <c r="G3" s="80"/>
      <c r="H3" s="31"/>
      <c r="I3" s="7"/>
      <c r="J3" s="7">
        <v>6631551.9100000001</v>
      </c>
      <c r="K3" s="8"/>
      <c r="L3" s="8"/>
    </row>
    <row r="4" spans="1:12" s="10" customFormat="1" ht="26.25" customHeight="1" x14ac:dyDescent="0.2">
      <c r="A4" s="81" t="s">
        <v>191</v>
      </c>
      <c r="B4" s="82"/>
      <c r="C4" s="82"/>
      <c r="D4" s="82"/>
      <c r="E4" s="83"/>
      <c r="F4" s="87" t="s">
        <v>7</v>
      </c>
      <c r="G4" s="88"/>
      <c r="H4" s="89"/>
      <c r="I4" s="20"/>
      <c r="J4" s="20">
        <f>J3-A9</f>
        <v>-9129728.0899999999</v>
      </c>
      <c r="K4" s="8"/>
      <c r="L4" s="8"/>
    </row>
    <row r="5" spans="1:12" s="10" customFormat="1" ht="18.75" customHeight="1" x14ac:dyDescent="0.2">
      <c r="A5" s="84"/>
      <c r="B5" s="85"/>
      <c r="C5" s="85"/>
      <c r="D5" s="85"/>
      <c r="E5" s="86"/>
      <c r="F5" s="90">
        <v>204578581</v>
      </c>
      <c r="G5" s="91"/>
      <c r="H5" s="92"/>
      <c r="I5" s="20"/>
      <c r="J5" s="20"/>
      <c r="K5" s="8"/>
      <c r="L5" s="8"/>
    </row>
    <row r="6" spans="1:12" s="10" customFormat="1" ht="22.5" customHeight="1" x14ac:dyDescent="0.2">
      <c r="A6" s="81" t="s">
        <v>8</v>
      </c>
      <c r="B6" s="82"/>
      <c r="C6" s="82"/>
      <c r="D6" s="82"/>
      <c r="E6" s="83"/>
      <c r="F6" s="81" t="s">
        <v>69</v>
      </c>
      <c r="G6" s="93"/>
      <c r="H6" s="94"/>
      <c r="I6" s="20"/>
      <c r="J6" s="20"/>
      <c r="K6" s="8"/>
      <c r="L6" s="8"/>
    </row>
    <row r="7" spans="1:12" s="10" customFormat="1" ht="21.75" customHeight="1" x14ac:dyDescent="0.2">
      <c r="A7" s="90" t="s">
        <v>21</v>
      </c>
      <c r="B7" s="91"/>
      <c r="C7" s="91"/>
      <c r="D7" s="91"/>
      <c r="E7" s="92"/>
      <c r="F7" s="95"/>
      <c r="G7" s="96"/>
      <c r="H7" s="97"/>
      <c r="I7" s="7"/>
      <c r="J7" s="7"/>
      <c r="K7" s="8"/>
      <c r="L7" s="8"/>
    </row>
    <row r="8" spans="1:12" s="10" customFormat="1" ht="21" customHeight="1" x14ac:dyDescent="0.2">
      <c r="A8" s="81" t="s">
        <v>15</v>
      </c>
      <c r="B8" s="82"/>
      <c r="C8" s="82"/>
      <c r="D8" s="82"/>
      <c r="E8" s="82"/>
      <c r="F8" s="82"/>
      <c r="G8" s="82"/>
      <c r="H8" s="83"/>
      <c r="I8" s="20"/>
      <c r="J8" s="20"/>
      <c r="K8" s="8"/>
      <c r="L8" s="8"/>
    </row>
    <row r="9" spans="1:12" s="12" customFormat="1" ht="15.75" customHeight="1" x14ac:dyDescent="0.2">
      <c r="A9" s="112">
        <f>15786280-25000</f>
        <v>15761280</v>
      </c>
      <c r="B9" s="113"/>
      <c r="C9" s="113"/>
      <c r="D9" s="113"/>
      <c r="E9" s="113"/>
      <c r="F9" s="113"/>
      <c r="G9" s="113"/>
      <c r="H9" s="113"/>
      <c r="I9" s="28"/>
      <c r="J9" s="28"/>
      <c r="K9" s="11"/>
    </row>
    <row r="10" spans="1:12" s="13" customFormat="1" ht="66.75" customHeight="1" x14ac:dyDescent="0.2">
      <c r="A10" s="63" t="s">
        <v>1</v>
      </c>
      <c r="B10" s="63" t="s">
        <v>2</v>
      </c>
      <c r="C10" s="63" t="s">
        <v>3</v>
      </c>
      <c r="D10" s="18" t="s">
        <v>38</v>
      </c>
      <c r="E10" s="63" t="s">
        <v>4</v>
      </c>
      <c r="F10" s="63" t="s">
        <v>5</v>
      </c>
      <c r="G10" s="63" t="s">
        <v>6</v>
      </c>
      <c r="H10" s="63" t="s">
        <v>0</v>
      </c>
      <c r="I10" s="7"/>
      <c r="J10" s="7"/>
      <c r="K10" s="11"/>
      <c r="L10" s="12"/>
    </row>
    <row r="11" spans="1:12" s="13" customFormat="1" ht="15" customHeight="1" x14ac:dyDescent="0.2">
      <c r="A11" s="63">
        <v>1</v>
      </c>
      <c r="B11" s="63">
        <v>2</v>
      </c>
      <c r="C11" s="63">
        <v>3</v>
      </c>
      <c r="D11" s="14">
        <v>4</v>
      </c>
      <c r="E11" s="63">
        <v>5</v>
      </c>
      <c r="F11" s="63">
        <v>6</v>
      </c>
      <c r="G11" s="63">
        <v>7</v>
      </c>
      <c r="H11" s="63">
        <v>8</v>
      </c>
      <c r="I11" s="7"/>
      <c r="J11" s="7"/>
      <c r="K11" s="11"/>
      <c r="L11" s="12"/>
    </row>
    <row r="12" spans="1:12" s="31" customFormat="1" ht="27.75" customHeight="1" x14ac:dyDescent="0.2">
      <c r="A12" s="63">
        <v>1</v>
      </c>
      <c r="B12" s="67" t="s">
        <v>104</v>
      </c>
      <c r="C12" s="63" t="s">
        <v>105</v>
      </c>
      <c r="D12" s="104">
        <f>5200-270</f>
        <v>4930</v>
      </c>
      <c r="E12" s="63" t="s">
        <v>10</v>
      </c>
      <c r="F12" s="36" t="s">
        <v>12</v>
      </c>
      <c r="G12" s="36" t="s">
        <v>24</v>
      </c>
      <c r="H12" s="37"/>
      <c r="I12" s="7" t="s">
        <v>106</v>
      </c>
    </row>
    <row r="13" spans="1:12" s="22" customFormat="1" ht="31.5" customHeight="1" x14ac:dyDescent="0.2">
      <c r="A13" s="70">
        <v>2</v>
      </c>
      <c r="B13" s="36" t="s">
        <v>34</v>
      </c>
      <c r="C13" s="63" t="s">
        <v>35</v>
      </c>
      <c r="D13" s="14">
        <f>936600-45000</f>
        <v>891600</v>
      </c>
      <c r="E13" s="63" t="s">
        <v>14</v>
      </c>
      <c r="F13" s="36" t="s">
        <v>12</v>
      </c>
      <c r="G13" s="36" t="s">
        <v>24</v>
      </c>
      <c r="H13" s="37" t="s">
        <v>13</v>
      </c>
      <c r="I13" s="15" t="s">
        <v>177</v>
      </c>
      <c r="J13" s="15"/>
      <c r="K13" s="7"/>
      <c r="L13" s="31"/>
    </row>
    <row r="14" spans="1:12" s="22" customFormat="1" ht="28.5" customHeight="1" x14ac:dyDescent="0.2">
      <c r="A14" s="70">
        <v>3</v>
      </c>
      <c r="B14" s="98" t="s">
        <v>48</v>
      </c>
      <c r="C14" s="79" t="s">
        <v>49</v>
      </c>
      <c r="D14" s="14">
        <f>6000-5000</f>
        <v>1000</v>
      </c>
      <c r="E14" s="63" t="s">
        <v>10</v>
      </c>
      <c r="F14" s="36" t="s">
        <v>12</v>
      </c>
      <c r="G14" s="36" t="s">
        <v>24</v>
      </c>
      <c r="H14" s="37"/>
      <c r="I14" s="32" t="s">
        <v>132</v>
      </c>
      <c r="J14" s="7"/>
      <c r="K14" s="31"/>
      <c r="L14" s="31"/>
    </row>
    <row r="15" spans="1:12" s="31" customFormat="1" ht="29.25" customHeight="1" x14ac:dyDescent="0.2">
      <c r="A15" s="70">
        <v>4</v>
      </c>
      <c r="B15" s="98"/>
      <c r="C15" s="79"/>
      <c r="D15" s="14">
        <v>55922</v>
      </c>
      <c r="E15" s="63" t="s">
        <v>14</v>
      </c>
      <c r="F15" s="36" t="s">
        <v>12</v>
      </c>
      <c r="G15" s="36" t="s">
        <v>24</v>
      </c>
      <c r="H15" s="37" t="s">
        <v>13</v>
      </c>
      <c r="I15" s="15" t="s">
        <v>133</v>
      </c>
      <c r="J15" s="7"/>
    </row>
    <row r="16" spans="1:12" s="23" customFormat="1" ht="32.25" customHeight="1" x14ac:dyDescent="0.2">
      <c r="A16" s="70">
        <v>5</v>
      </c>
      <c r="B16" s="67">
        <v>15800000</v>
      </c>
      <c r="C16" s="63" t="s">
        <v>60</v>
      </c>
      <c r="D16" s="104">
        <f>700-500</f>
        <v>200</v>
      </c>
      <c r="E16" s="63" t="s">
        <v>10</v>
      </c>
      <c r="F16" s="36" t="s">
        <v>12</v>
      </c>
      <c r="G16" s="36" t="s">
        <v>24</v>
      </c>
      <c r="H16" s="37" t="s">
        <v>59</v>
      </c>
      <c r="I16" s="7" t="s">
        <v>73</v>
      </c>
      <c r="J16" s="7"/>
      <c r="K16" s="6"/>
      <c r="L16" s="31"/>
    </row>
    <row r="17" spans="1:12" s="9" customFormat="1" ht="32.25" customHeight="1" x14ac:dyDescent="0.2">
      <c r="A17" s="70">
        <v>6</v>
      </c>
      <c r="B17" s="67">
        <v>15900000</v>
      </c>
      <c r="C17" s="63" t="s">
        <v>61</v>
      </c>
      <c r="D17" s="14">
        <v>5000</v>
      </c>
      <c r="E17" s="63" t="s">
        <v>10</v>
      </c>
      <c r="F17" s="36" t="s">
        <v>12</v>
      </c>
      <c r="G17" s="36" t="s">
        <v>24</v>
      </c>
      <c r="H17" s="37" t="s">
        <v>59</v>
      </c>
      <c r="I17" s="7" t="s">
        <v>74</v>
      </c>
      <c r="J17" s="7"/>
    </row>
    <row r="18" spans="1:12" s="31" customFormat="1" ht="38.25" customHeight="1" x14ac:dyDescent="0.2">
      <c r="A18" s="70">
        <v>7</v>
      </c>
      <c r="B18" s="63">
        <v>16700000</v>
      </c>
      <c r="C18" s="63" t="s">
        <v>123</v>
      </c>
      <c r="D18" s="52">
        <f>1965000-24780</f>
        <v>1940220</v>
      </c>
      <c r="E18" s="63" t="s">
        <v>25</v>
      </c>
      <c r="F18" s="36" t="s">
        <v>12</v>
      </c>
      <c r="G18" s="36" t="s">
        <v>24</v>
      </c>
      <c r="H18" s="37"/>
      <c r="I18" s="48" t="s">
        <v>155</v>
      </c>
      <c r="J18" s="7"/>
    </row>
    <row r="19" spans="1:12" s="31" customFormat="1" ht="33.75" customHeight="1" x14ac:dyDescent="0.2">
      <c r="A19" s="70">
        <v>8</v>
      </c>
      <c r="B19" s="63">
        <v>18300000</v>
      </c>
      <c r="C19" s="63" t="s">
        <v>103</v>
      </c>
      <c r="D19" s="104">
        <f>5000-1250</f>
        <v>3750</v>
      </c>
      <c r="E19" s="63" t="s">
        <v>10</v>
      </c>
      <c r="F19" s="36" t="s">
        <v>12</v>
      </c>
      <c r="G19" s="36" t="s">
        <v>24</v>
      </c>
      <c r="H19" s="37"/>
      <c r="I19" s="15" t="s">
        <v>116</v>
      </c>
      <c r="J19" s="15"/>
      <c r="K19" s="7"/>
    </row>
    <row r="20" spans="1:12" s="26" customFormat="1" ht="36" customHeight="1" x14ac:dyDescent="0.2">
      <c r="A20" s="70">
        <v>9</v>
      </c>
      <c r="B20" s="63">
        <v>18400000</v>
      </c>
      <c r="C20" s="63" t="s">
        <v>65</v>
      </c>
      <c r="D20" s="14">
        <f>348000-72240</f>
        <v>275760</v>
      </c>
      <c r="E20" s="63" t="s">
        <v>25</v>
      </c>
      <c r="F20" s="36" t="s">
        <v>12</v>
      </c>
      <c r="G20" s="36" t="s">
        <v>24</v>
      </c>
      <c r="H20" s="37"/>
      <c r="I20" s="15" t="s">
        <v>75</v>
      </c>
      <c r="J20" s="15"/>
      <c r="K20" s="7"/>
      <c r="L20" s="31"/>
    </row>
    <row r="21" spans="1:12" s="22" customFormat="1" ht="30.75" customHeight="1" x14ac:dyDescent="0.2">
      <c r="A21" s="70">
        <v>10</v>
      </c>
      <c r="B21" s="79">
        <v>18500000</v>
      </c>
      <c r="C21" s="79" t="s">
        <v>54</v>
      </c>
      <c r="D21" s="14">
        <v>7000</v>
      </c>
      <c r="E21" s="63" t="s">
        <v>10</v>
      </c>
      <c r="F21" s="36" t="s">
        <v>12</v>
      </c>
      <c r="G21" s="36" t="s">
        <v>24</v>
      </c>
      <c r="H21" s="37"/>
      <c r="I21" s="7" t="s">
        <v>76</v>
      </c>
      <c r="J21" s="7"/>
      <c r="K21" s="31"/>
      <c r="L21" s="31"/>
    </row>
    <row r="22" spans="1:12" s="31" customFormat="1" ht="34.5" customHeight="1" x14ac:dyDescent="0.2">
      <c r="A22" s="70">
        <v>11</v>
      </c>
      <c r="B22" s="79"/>
      <c r="C22" s="79"/>
      <c r="D22" s="14">
        <f>23350-3340</f>
        <v>20010</v>
      </c>
      <c r="E22" s="63" t="s">
        <v>10</v>
      </c>
      <c r="F22" s="36" t="s">
        <v>12</v>
      </c>
      <c r="G22" s="36" t="s">
        <v>24</v>
      </c>
      <c r="H22" s="37" t="s">
        <v>59</v>
      </c>
      <c r="I22" s="7" t="s">
        <v>76</v>
      </c>
      <c r="J22" s="7"/>
    </row>
    <row r="23" spans="1:12" s="31" customFormat="1" ht="33.75" customHeight="1" x14ac:dyDescent="0.2">
      <c r="A23" s="70">
        <v>12</v>
      </c>
      <c r="B23" s="63">
        <v>18800000</v>
      </c>
      <c r="C23" s="63" t="s">
        <v>163</v>
      </c>
      <c r="D23" s="14">
        <v>2050</v>
      </c>
      <c r="E23" s="63" t="s">
        <v>10</v>
      </c>
      <c r="F23" s="36" t="s">
        <v>161</v>
      </c>
      <c r="G23" s="36" t="s">
        <v>162</v>
      </c>
      <c r="H23" s="37"/>
      <c r="I23" s="15" t="s">
        <v>116</v>
      </c>
      <c r="J23" s="15"/>
      <c r="K23" s="7"/>
    </row>
    <row r="24" spans="1:12" s="23" customFormat="1" ht="39" customHeight="1" x14ac:dyDescent="0.2">
      <c r="A24" s="70">
        <v>13</v>
      </c>
      <c r="B24" s="63">
        <v>22400000</v>
      </c>
      <c r="C24" s="63" t="s">
        <v>57</v>
      </c>
      <c r="D24" s="104">
        <f>14300-20</f>
        <v>14280</v>
      </c>
      <c r="E24" s="63" t="s">
        <v>25</v>
      </c>
      <c r="F24" s="36" t="s">
        <v>12</v>
      </c>
      <c r="G24" s="36" t="s">
        <v>24</v>
      </c>
      <c r="H24" s="37"/>
      <c r="I24" s="15" t="s">
        <v>165</v>
      </c>
      <c r="J24" s="15"/>
      <c r="K24" s="31"/>
      <c r="L24" s="31"/>
    </row>
    <row r="25" spans="1:12" s="31" customFormat="1" ht="47.25" customHeight="1" x14ac:dyDescent="0.2">
      <c r="A25" s="70">
        <v>14</v>
      </c>
      <c r="B25" s="63">
        <v>22800000</v>
      </c>
      <c r="C25" s="63" t="s">
        <v>113</v>
      </c>
      <c r="D25" s="60">
        <f>10880-2939.66</f>
        <v>7940.34</v>
      </c>
      <c r="E25" s="63" t="s">
        <v>25</v>
      </c>
      <c r="F25" s="36" t="s">
        <v>12</v>
      </c>
      <c r="G25" s="36" t="s">
        <v>24</v>
      </c>
      <c r="H25" s="37"/>
      <c r="I25" s="15" t="s">
        <v>114</v>
      </c>
      <c r="J25" s="15"/>
      <c r="K25" s="6"/>
    </row>
    <row r="26" spans="1:12" s="31" customFormat="1" ht="37.5" customHeight="1" x14ac:dyDescent="0.2">
      <c r="A26" s="70">
        <v>15</v>
      </c>
      <c r="B26" s="67">
        <v>24400000</v>
      </c>
      <c r="C26" s="63" t="s">
        <v>111</v>
      </c>
      <c r="D26" s="14">
        <f>158000+125000+16000</f>
        <v>299000</v>
      </c>
      <c r="E26" s="63" t="s">
        <v>25</v>
      </c>
      <c r="F26" s="36" t="s">
        <v>12</v>
      </c>
      <c r="G26" s="36" t="s">
        <v>24</v>
      </c>
      <c r="H26" s="37"/>
      <c r="I26" s="49" t="s">
        <v>112</v>
      </c>
    </row>
    <row r="27" spans="1:12" s="22" customFormat="1" ht="33.75" customHeight="1" x14ac:dyDescent="0.2">
      <c r="A27" s="70">
        <v>16</v>
      </c>
      <c r="B27" s="79">
        <v>30100000</v>
      </c>
      <c r="C27" s="79" t="s">
        <v>22</v>
      </c>
      <c r="D27" s="68">
        <f>7944.26+2260</f>
        <v>10204.26</v>
      </c>
      <c r="E27" s="63" t="s">
        <v>25</v>
      </c>
      <c r="F27" s="36" t="s">
        <v>12</v>
      </c>
      <c r="G27" s="36" t="s">
        <v>24</v>
      </c>
      <c r="H27" s="38"/>
      <c r="I27" s="7" t="s">
        <v>127</v>
      </c>
      <c r="J27" s="7"/>
      <c r="K27" s="6"/>
      <c r="L27" s="31"/>
    </row>
    <row r="28" spans="1:12" s="22" customFormat="1" ht="28.5" customHeight="1" x14ac:dyDescent="0.2">
      <c r="A28" s="70">
        <v>17</v>
      </c>
      <c r="B28" s="79"/>
      <c r="C28" s="79"/>
      <c r="D28" s="53">
        <f>13000+15000</f>
        <v>28000</v>
      </c>
      <c r="E28" s="63" t="s">
        <v>14</v>
      </c>
      <c r="F28" s="36" t="s">
        <v>12</v>
      </c>
      <c r="G28" s="36" t="s">
        <v>24</v>
      </c>
      <c r="H28" s="37" t="s">
        <v>13</v>
      </c>
      <c r="I28" s="7" t="s">
        <v>128</v>
      </c>
      <c r="J28" s="7"/>
      <c r="K28" s="6"/>
      <c r="L28" s="31"/>
    </row>
    <row r="29" spans="1:12" s="31" customFormat="1" ht="30" customHeight="1" x14ac:dyDescent="0.2">
      <c r="A29" s="70">
        <v>18</v>
      </c>
      <c r="B29" s="75">
        <v>30200000</v>
      </c>
      <c r="C29" s="75" t="s">
        <v>166</v>
      </c>
      <c r="D29" s="55">
        <f>216500+101500</f>
        <v>318000</v>
      </c>
      <c r="E29" s="63" t="s">
        <v>14</v>
      </c>
      <c r="F29" s="36" t="s">
        <v>12</v>
      </c>
      <c r="G29" s="36" t="s">
        <v>24</v>
      </c>
      <c r="H29" s="37" t="s">
        <v>13</v>
      </c>
      <c r="I29" s="24" t="s">
        <v>169</v>
      </c>
      <c r="J29" s="7"/>
      <c r="K29" s="6"/>
    </row>
    <row r="30" spans="1:12" s="31" customFormat="1" ht="28.5" customHeight="1" x14ac:dyDescent="0.2">
      <c r="A30" s="70">
        <v>19</v>
      </c>
      <c r="B30" s="76"/>
      <c r="C30" s="76"/>
      <c r="D30" s="105">
        <f>9299+430</f>
        <v>9729</v>
      </c>
      <c r="E30" s="70" t="s">
        <v>10</v>
      </c>
      <c r="F30" s="36" t="s">
        <v>12</v>
      </c>
      <c r="G30" s="36" t="s">
        <v>24</v>
      </c>
      <c r="H30" s="37"/>
      <c r="I30" s="7" t="s">
        <v>147</v>
      </c>
      <c r="J30" s="7"/>
      <c r="K30" s="6"/>
    </row>
    <row r="31" spans="1:12" s="31" customFormat="1" ht="28.5" customHeight="1" x14ac:dyDescent="0.2">
      <c r="A31" s="70">
        <v>20</v>
      </c>
      <c r="B31" s="77"/>
      <c r="C31" s="77"/>
      <c r="D31" s="106">
        <v>270</v>
      </c>
      <c r="E31" s="107" t="s">
        <v>10</v>
      </c>
      <c r="F31" s="108" t="s">
        <v>179</v>
      </c>
      <c r="G31" s="108" t="s">
        <v>180</v>
      </c>
      <c r="H31" s="109"/>
      <c r="I31" s="7" t="s">
        <v>147</v>
      </c>
      <c r="J31" s="7"/>
      <c r="K31" s="6"/>
    </row>
    <row r="32" spans="1:12" s="31" customFormat="1" ht="34.5" customHeight="1" x14ac:dyDescent="0.2">
      <c r="A32" s="70">
        <v>21</v>
      </c>
      <c r="B32" s="63">
        <v>31100000</v>
      </c>
      <c r="C32" s="63" t="s">
        <v>99</v>
      </c>
      <c r="D32" s="14">
        <f>1000</f>
        <v>1000</v>
      </c>
      <c r="E32" s="107" t="s">
        <v>10</v>
      </c>
      <c r="F32" s="36" t="s">
        <v>12</v>
      </c>
      <c r="G32" s="36" t="s">
        <v>24</v>
      </c>
      <c r="H32" s="37"/>
      <c r="I32" s="46" t="s">
        <v>115</v>
      </c>
      <c r="J32" s="15"/>
      <c r="K32" s="7"/>
    </row>
    <row r="33" spans="1:12" s="22" customFormat="1" ht="26.25" customHeight="1" x14ac:dyDescent="0.2">
      <c r="A33" s="70">
        <v>22</v>
      </c>
      <c r="B33" s="79">
        <v>31400000</v>
      </c>
      <c r="C33" s="79" t="s">
        <v>29</v>
      </c>
      <c r="D33" s="14">
        <f>2000+3672</f>
        <v>5672</v>
      </c>
      <c r="E33" s="63" t="s">
        <v>10</v>
      </c>
      <c r="F33" s="36" t="s">
        <v>12</v>
      </c>
      <c r="G33" s="36" t="s">
        <v>24</v>
      </c>
      <c r="H33" s="37"/>
      <c r="I33" s="15" t="s">
        <v>185</v>
      </c>
      <c r="J33" s="15"/>
      <c r="K33" s="7"/>
      <c r="L33" s="31"/>
    </row>
    <row r="34" spans="1:12" s="23" customFormat="1" ht="29.25" customHeight="1" x14ac:dyDescent="0.2">
      <c r="A34" s="70">
        <v>23</v>
      </c>
      <c r="B34" s="79"/>
      <c r="C34" s="79"/>
      <c r="D34" s="14">
        <f>15000+4505</f>
        <v>19505</v>
      </c>
      <c r="E34" s="63" t="s">
        <v>14</v>
      </c>
      <c r="F34" s="36" t="s">
        <v>12</v>
      </c>
      <c r="G34" s="36" t="s">
        <v>24</v>
      </c>
      <c r="H34" s="37" t="s">
        <v>13</v>
      </c>
      <c r="I34" s="15" t="s">
        <v>77</v>
      </c>
      <c r="J34" s="15"/>
      <c r="K34" s="7"/>
      <c r="L34" s="31"/>
    </row>
    <row r="35" spans="1:12" s="31" customFormat="1" ht="34.5" customHeight="1" x14ac:dyDescent="0.2">
      <c r="A35" s="70">
        <v>24</v>
      </c>
      <c r="B35" s="63">
        <v>31500000</v>
      </c>
      <c r="C35" s="63" t="s">
        <v>94</v>
      </c>
      <c r="D35" s="14">
        <f>16000-2000-1000</f>
        <v>13000</v>
      </c>
      <c r="E35" s="63" t="s">
        <v>25</v>
      </c>
      <c r="F35" s="36" t="s">
        <v>12</v>
      </c>
      <c r="G35" s="36" t="s">
        <v>24</v>
      </c>
      <c r="H35" s="44"/>
      <c r="I35" s="16" t="s">
        <v>95</v>
      </c>
    </row>
    <row r="36" spans="1:12" s="22" customFormat="1" ht="39.75" customHeight="1" x14ac:dyDescent="0.2">
      <c r="A36" s="70">
        <v>25</v>
      </c>
      <c r="B36" s="63">
        <v>32200000</v>
      </c>
      <c r="C36" s="63" t="s">
        <v>58</v>
      </c>
      <c r="D36" s="14">
        <v>9000</v>
      </c>
      <c r="E36" s="63" t="s">
        <v>10</v>
      </c>
      <c r="F36" s="36" t="s">
        <v>12</v>
      </c>
      <c r="G36" s="36" t="s">
        <v>24</v>
      </c>
      <c r="H36" s="37"/>
      <c r="I36" s="15" t="s">
        <v>78</v>
      </c>
      <c r="J36" s="15"/>
      <c r="K36" s="7"/>
      <c r="L36" s="31"/>
    </row>
    <row r="37" spans="1:12" s="31" customFormat="1" ht="33.75" customHeight="1" x14ac:dyDescent="0.2">
      <c r="A37" s="70">
        <v>26</v>
      </c>
      <c r="B37" s="75">
        <v>32300000</v>
      </c>
      <c r="C37" s="75" t="s">
        <v>156</v>
      </c>
      <c r="D37" s="110">
        <f>9900-4300</f>
        <v>5600</v>
      </c>
      <c r="E37" s="63" t="s">
        <v>10</v>
      </c>
      <c r="F37" s="36" t="s">
        <v>12</v>
      </c>
      <c r="G37" s="36" t="s">
        <v>24</v>
      </c>
      <c r="H37" s="44"/>
      <c r="I37" s="58" t="s">
        <v>157</v>
      </c>
    </row>
    <row r="38" spans="1:12" s="31" customFormat="1" ht="33.75" customHeight="1" x14ac:dyDescent="0.2">
      <c r="A38" s="70">
        <v>27</v>
      </c>
      <c r="B38" s="77"/>
      <c r="C38" s="77"/>
      <c r="D38" s="104">
        <v>4300</v>
      </c>
      <c r="E38" s="107" t="s">
        <v>10</v>
      </c>
      <c r="F38" s="108" t="s">
        <v>179</v>
      </c>
      <c r="G38" s="108" t="s">
        <v>180</v>
      </c>
      <c r="H38" s="111"/>
      <c r="I38" s="71" t="s">
        <v>192</v>
      </c>
    </row>
    <row r="39" spans="1:12" s="22" customFormat="1" ht="33.75" customHeight="1" x14ac:dyDescent="0.2">
      <c r="A39" s="70">
        <v>28</v>
      </c>
      <c r="B39" s="61">
        <v>32400000</v>
      </c>
      <c r="C39" s="61" t="s">
        <v>43</v>
      </c>
      <c r="D39" s="104">
        <f>3230+20</f>
        <v>3250</v>
      </c>
      <c r="E39" s="63" t="s">
        <v>10</v>
      </c>
      <c r="F39" s="36" t="s">
        <v>12</v>
      </c>
      <c r="G39" s="36" t="s">
        <v>24</v>
      </c>
      <c r="H39" s="37"/>
      <c r="I39" s="15" t="s">
        <v>79</v>
      </c>
      <c r="J39" s="15"/>
      <c r="K39" s="7"/>
      <c r="L39" s="31"/>
    </row>
    <row r="40" spans="1:12" s="31" customFormat="1" ht="31.5" customHeight="1" x14ac:dyDescent="0.2">
      <c r="A40" s="70">
        <v>29</v>
      </c>
      <c r="B40" s="63">
        <v>32500000</v>
      </c>
      <c r="C40" s="63" t="s">
        <v>101</v>
      </c>
      <c r="D40" s="14">
        <v>1000</v>
      </c>
      <c r="E40" s="63" t="s">
        <v>10</v>
      </c>
      <c r="F40" s="36" t="s">
        <v>12</v>
      </c>
      <c r="G40" s="36" t="s">
        <v>24</v>
      </c>
      <c r="H40" s="37"/>
      <c r="I40" s="15" t="s">
        <v>100</v>
      </c>
      <c r="J40" s="15"/>
      <c r="K40" s="7"/>
    </row>
    <row r="41" spans="1:12" s="22" customFormat="1" ht="38.25" customHeight="1" x14ac:dyDescent="0.2">
      <c r="A41" s="70">
        <v>30</v>
      </c>
      <c r="B41" s="63">
        <v>34300000</v>
      </c>
      <c r="C41" s="63" t="s">
        <v>36</v>
      </c>
      <c r="D41" s="14">
        <f>146000-100000</f>
        <v>46000</v>
      </c>
      <c r="E41" s="63" t="s">
        <v>14</v>
      </c>
      <c r="F41" s="36" t="s">
        <v>12</v>
      </c>
      <c r="G41" s="36" t="s">
        <v>24</v>
      </c>
      <c r="H41" s="37" t="s">
        <v>13</v>
      </c>
      <c r="I41" s="15" t="s">
        <v>136</v>
      </c>
      <c r="J41" s="15"/>
      <c r="K41" s="7"/>
      <c r="L41" s="31"/>
    </row>
    <row r="42" spans="1:12" s="31" customFormat="1" ht="36.75" customHeight="1" x14ac:dyDescent="0.2">
      <c r="A42" s="70">
        <v>31</v>
      </c>
      <c r="B42" s="75">
        <v>35100000</v>
      </c>
      <c r="C42" s="75" t="s">
        <v>68</v>
      </c>
      <c r="D42" s="52">
        <f>70000+50000</f>
        <v>120000</v>
      </c>
      <c r="E42" s="63" t="s">
        <v>25</v>
      </c>
      <c r="F42" s="36" t="s">
        <v>12</v>
      </c>
      <c r="G42" s="36" t="s">
        <v>24</v>
      </c>
      <c r="H42" s="63"/>
      <c r="I42" s="32" t="s">
        <v>154</v>
      </c>
      <c r="J42" s="32"/>
    </row>
    <row r="43" spans="1:12" s="31" customFormat="1" ht="36.75" customHeight="1" x14ac:dyDescent="0.2">
      <c r="A43" s="70">
        <v>32</v>
      </c>
      <c r="B43" s="77"/>
      <c r="C43" s="77"/>
      <c r="D43" s="104">
        <f>123680-48950</f>
        <v>74730</v>
      </c>
      <c r="E43" s="63" t="s">
        <v>25</v>
      </c>
      <c r="F43" s="36" t="s">
        <v>161</v>
      </c>
      <c r="G43" s="36" t="s">
        <v>162</v>
      </c>
      <c r="H43" s="63"/>
      <c r="I43" s="32" t="s">
        <v>154</v>
      </c>
      <c r="J43" s="32"/>
    </row>
    <row r="44" spans="1:12" s="27" customFormat="1" ht="37.5" customHeight="1" x14ac:dyDescent="0.2">
      <c r="A44" s="70">
        <v>33</v>
      </c>
      <c r="B44" s="63">
        <v>35300000</v>
      </c>
      <c r="C44" s="63" t="s">
        <v>66</v>
      </c>
      <c r="D44" s="14">
        <v>5000</v>
      </c>
      <c r="E44" s="63" t="s">
        <v>10</v>
      </c>
      <c r="F44" s="36" t="s">
        <v>12</v>
      </c>
      <c r="G44" s="36" t="s">
        <v>24</v>
      </c>
      <c r="H44" s="37"/>
      <c r="I44" s="15" t="s">
        <v>117</v>
      </c>
      <c r="J44" s="15"/>
      <c r="K44" s="7"/>
      <c r="L44" s="31"/>
    </row>
    <row r="45" spans="1:12" s="31" customFormat="1" ht="36.75" customHeight="1" x14ac:dyDescent="0.2">
      <c r="A45" s="70">
        <v>34</v>
      </c>
      <c r="B45" s="75">
        <v>37400000</v>
      </c>
      <c r="C45" s="75" t="s">
        <v>164</v>
      </c>
      <c r="D45" s="104">
        <f>123+3150</f>
        <v>3273</v>
      </c>
      <c r="E45" s="63" t="s">
        <v>10</v>
      </c>
      <c r="F45" s="36" t="s">
        <v>161</v>
      </c>
      <c r="G45" s="36" t="s">
        <v>162</v>
      </c>
      <c r="H45" s="37"/>
      <c r="I45" s="72" t="s">
        <v>193</v>
      </c>
      <c r="J45" s="15"/>
      <c r="K45" s="7"/>
    </row>
    <row r="46" spans="1:12" s="31" customFormat="1" ht="33" customHeight="1" x14ac:dyDescent="0.2">
      <c r="A46" s="70">
        <v>35</v>
      </c>
      <c r="B46" s="77"/>
      <c r="C46" s="77"/>
      <c r="D46" s="52">
        <v>3150</v>
      </c>
      <c r="E46" s="63" t="s">
        <v>10</v>
      </c>
      <c r="F46" s="36" t="s">
        <v>161</v>
      </c>
      <c r="G46" s="36" t="s">
        <v>162</v>
      </c>
      <c r="H46" s="37"/>
      <c r="I46" s="15" t="s">
        <v>186</v>
      </c>
      <c r="J46" s="15"/>
      <c r="K46" s="7"/>
    </row>
    <row r="47" spans="1:12" s="31" customFormat="1" ht="36" customHeight="1" x14ac:dyDescent="0.2">
      <c r="A47" s="70">
        <v>36</v>
      </c>
      <c r="B47" s="62">
        <v>38100000</v>
      </c>
      <c r="C47" s="62" t="s">
        <v>167</v>
      </c>
      <c r="D47" s="14">
        <f>1520+7600</f>
        <v>9120</v>
      </c>
      <c r="E47" s="63" t="s">
        <v>10</v>
      </c>
      <c r="F47" s="36" t="s">
        <v>161</v>
      </c>
      <c r="G47" s="36" t="s">
        <v>162</v>
      </c>
      <c r="H47" s="37"/>
      <c r="I47" s="48" t="s">
        <v>181</v>
      </c>
      <c r="J47" s="7"/>
    </row>
    <row r="48" spans="1:12" s="31" customFormat="1" ht="33.75" customHeight="1" x14ac:dyDescent="0.2">
      <c r="A48" s="70">
        <v>37</v>
      </c>
      <c r="B48" s="63">
        <v>38600000</v>
      </c>
      <c r="C48" s="63" t="s">
        <v>151</v>
      </c>
      <c r="D48" s="52">
        <f>81152+75000</f>
        <v>156152</v>
      </c>
      <c r="E48" s="63" t="s">
        <v>25</v>
      </c>
      <c r="F48" s="36" t="s">
        <v>12</v>
      </c>
      <c r="G48" s="36" t="s">
        <v>24</v>
      </c>
      <c r="H48" s="57"/>
      <c r="I48" s="24" t="s">
        <v>152</v>
      </c>
    </row>
    <row r="49" spans="1:13" s="31" customFormat="1" ht="45.75" customHeight="1" x14ac:dyDescent="0.2">
      <c r="A49" s="70">
        <v>38</v>
      </c>
      <c r="B49" s="75">
        <v>39100000</v>
      </c>
      <c r="C49" s="75" t="s">
        <v>11</v>
      </c>
      <c r="D49" s="14">
        <f>70000-34290</f>
        <v>35710</v>
      </c>
      <c r="E49" s="63" t="s">
        <v>14</v>
      </c>
      <c r="F49" s="36" t="s">
        <v>12</v>
      </c>
      <c r="G49" s="36" t="s">
        <v>24</v>
      </c>
      <c r="H49" s="37" t="s">
        <v>13</v>
      </c>
      <c r="I49" s="15" t="s">
        <v>80</v>
      </c>
      <c r="J49" s="15"/>
      <c r="K49" s="6"/>
      <c r="M49" s="8"/>
    </row>
    <row r="50" spans="1:13" s="31" customFormat="1" ht="33" customHeight="1" x14ac:dyDescent="0.2">
      <c r="A50" s="70">
        <v>39</v>
      </c>
      <c r="B50" s="76"/>
      <c r="C50" s="76"/>
      <c r="D50" s="14">
        <f>1000+180</f>
        <v>1180</v>
      </c>
      <c r="E50" s="63" t="s">
        <v>10</v>
      </c>
      <c r="F50" s="36" t="s">
        <v>12</v>
      </c>
      <c r="G50" s="36" t="s">
        <v>24</v>
      </c>
      <c r="H50" s="37"/>
      <c r="I50" s="15" t="s">
        <v>80</v>
      </c>
      <c r="J50" s="15"/>
      <c r="K50" s="6"/>
      <c r="M50" s="8"/>
    </row>
    <row r="51" spans="1:13" s="31" customFormat="1" ht="36.75" customHeight="1" x14ac:dyDescent="0.2">
      <c r="A51" s="70">
        <v>40</v>
      </c>
      <c r="B51" s="77"/>
      <c r="C51" s="77"/>
      <c r="D51" s="52">
        <f>3000+2000</f>
        <v>5000</v>
      </c>
      <c r="E51" s="63" t="s">
        <v>10</v>
      </c>
      <c r="F51" s="36" t="s">
        <v>12</v>
      </c>
      <c r="G51" s="36" t="s">
        <v>24</v>
      </c>
      <c r="H51" s="37"/>
      <c r="I51" s="15" t="s">
        <v>80</v>
      </c>
      <c r="J51" s="15"/>
      <c r="K51" s="6"/>
      <c r="M51" s="8"/>
    </row>
    <row r="52" spans="1:13" s="22" customFormat="1" ht="28.5" customHeight="1" x14ac:dyDescent="0.2">
      <c r="A52" s="70">
        <v>41</v>
      </c>
      <c r="B52" s="79">
        <v>39200000</v>
      </c>
      <c r="C52" s="79" t="s">
        <v>51</v>
      </c>
      <c r="D52" s="14">
        <f>9000-875</f>
        <v>8125</v>
      </c>
      <c r="E52" s="63" t="s">
        <v>10</v>
      </c>
      <c r="F52" s="36" t="s">
        <v>12</v>
      </c>
      <c r="G52" s="36" t="s">
        <v>24</v>
      </c>
      <c r="H52" s="63"/>
      <c r="I52" s="15" t="s">
        <v>174</v>
      </c>
      <c r="J52" s="15"/>
      <c r="K52" s="7"/>
      <c r="L52" s="31"/>
    </row>
    <row r="53" spans="1:13" s="31" customFormat="1" ht="33.75" customHeight="1" x14ac:dyDescent="0.2">
      <c r="A53" s="70">
        <v>42</v>
      </c>
      <c r="B53" s="79"/>
      <c r="C53" s="79"/>
      <c r="D53" s="14">
        <v>3000</v>
      </c>
      <c r="E53" s="63" t="s">
        <v>10</v>
      </c>
      <c r="F53" s="36" t="s">
        <v>12</v>
      </c>
      <c r="G53" s="36" t="s">
        <v>24</v>
      </c>
      <c r="H53" s="37" t="s">
        <v>59</v>
      </c>
      <c r="I53" s="15" t="s">
        <v>107</v>
      </c>
      <c r="J53" s="15"/>
      <c r="K53" s="7"/>
    </row>
    <row r="54" spans="1:13" s="31" customFormat="1" ht="35.25" customHeight="1" x14ac:dyDescent="0.2">
      <c r="A54" s="70">
        <v>43</v>
      </c>
      <c r="B54" s="63">
        <v>42100000</v>
      </c>
      <c r="C54" s="63" t="s">
        <v>144</v>
      </c>
      <c r="D54" s="52">
        <f>4980+1040</f>
        <v>6020</v>
      </c>
      <c r="E54" s="63" t="s">
        <v>10</v>
      </c>
      <c r="F54" s="36" t="s">
        <v>12</v>
      </c>
      <c r="G54" s="36" t="s">
        <v>24</v>
      </c>
      <c r="H54" s="37"/>
      <c r="I54" s="15" t="s">
        <v>145</v>
      </c>
    </row>
    <row r="55" spans="1:13" s="31" customFormat="1" ht="33.75" customHeight="1" x14ac:dyDescent="0.2">
      <c r="A55" s="70">
        <v>44</v>
      </c>
      <c r="B55" s="63">
        <v>42500000</v>
      </c>
      <c r="C55" s="63" t="s">
        <v>172</v>
      </c>
      <c r="D55" s="52">
        <v>30000</v>
      </c>
      <c r="E55" s="63" t="s">
        <v>25</v>
      </c>
      <c r="F55" s="36" t="s">
        <v>161</v>
      </c>
      <c r="G55" s="36" t="s">
        <v>162</v>
      </c>
      <c r="H55" s="37"/>
      <c r="I55" s="48" t="s">
        <v>171</v>
      </c>
      <c r="J55" s="7"/>
    </row>
    <row r="56" spans="1:13" s="31" customFormat="1" ht="31.5" customHeight="1" x14ac:dyDescent="0.2">
      <c r="A56" s="70">
        <v>45</v>
      </c>
      <c r="B56" s="102">
        <v>42900000</v>
      </c>
      <c r="C56" s="75" t="s">
        <v>50</v>
      </c>
      <c r="D56" s="14">
        <v>500</v>
      </c>
      <c r="E56" s="63" t="s">
        <v>10</v>
      </c>
      <c r="F56" s="36" t="s">
        <v>12</v>
      </c>
      <c r="G56" s="36" t="s">
        <v>24</v>
      </c>
      <c r="H56" s="37"/>
      <c r="I56" s="24" t="s">
        <v>130</v>
      </c>
      <c r="J56" s="7"/>
    </row>
    <row r="57" spans="1:13" s="31" customFormat="1" ht="35.25" customHeight="1" x14ac:dyDescent="0.2">
      <c r="A57" s="70">
        <v>46</v>
      </c>
      <c r="B57" s="103"/>
      <c r="C57" s="77"/>
      <c r="D57" s="52">
        <v>4700</v>
      </c>
      <c r="E57" s="63" t="s">
        <v>10</v>
      </c>
      <c r="F57" s="36" t="s">
        <v>12</v>
      </c>
      <c r="G57" s="36" t="s">
        <v>24</v>
      </c>
      <c r="H57" s="37"/>
      <c r="I57" s="24" t="s">
        <v>146</v>
      </c>
      <c r="J57" s="7"/>
    </row>
    <row r="58" spans="1:13" s="31" customFormat="1" ht="33.75" customHeight="1" x14ac:dyDescent="0.2">
      <c r="A58" s="70">
        <v>47</v>
      </c>
      <c r="B58" s="63">
        <v>43800000</v>
      </c>
      <c r="C58" s="63" t="s">
        <v>121</v>
      </c>
      <c r="D58" s="52">
        <f>180000+110000</f>
        <v>290000</v>
      </c>
      <c r="E58" s="63" t="s">
        <v>25</v>
      </c>
      <c r="F58" s="36" t="s">
        <v>12</v>
      </c>
      <c r="G58" s="36" t="s">
        <v>24</v>
      </c>
      <c r="H58" s="37"/>
      <c r="I58" s="48" t="s">
        <v>122</v>
      </c>
      <c r="J58" s="7"/>
    </row>
    <row r="59" spans="1:13" s="31" customFormat="1" ht="36.75" customHeight="1" x14ac:dyDescent="0.2">
      <c r="A59" s="70">
        <v>48</v>
      </c>
      <c r="B59" s="63">
        <v>44100000</v>
      </c>
      <c r="C59" s="63" t="s">
        <v>124</v>
      </c>
      <c r="D59" s="14">
        <f>2500-2170</f>
        <v>330</v>
      </c>
      <c r="E59" s="63" t="s">
        <v>10</v>
      </c>
      <c r="F59" s="36" t="s">
        <v>12</v>
      </c>
      <c r="G59" s="36" t="s">
        <v>24</v>
      </c>
      <c r="H59" s="37"/>
      <c r="I59" s="49" t="s">
        <v>125</v>
      </c>
    </row>
    <row r="60" spans="1:13" s="31" customFormat="1" ht="31.5" customHeight="1" x14ac:dyDescent="0.2">
      <c r="A60" s="70">
        <v>49</v>
      </c>
      <c r="B60" s="63">
        <v>44200000</v>
      </c>
      <c r="C60" s="63" t="s">
        <v>140</v>
      </c>
      <c r="D60" s="52">
        <f>42460-6372</f>
        <v>36088</v>
      </c>
      <c r="E60" s="63" t="s">
        <v>25</v>
      </c>
      <c r="F60" s="36" t="s">
        <v>12</v>
      </c>
      <c r="G60" s="36" t="s">
        <v>24</v>
      </c>
      <c r="H60" s="37"/>
      <c r="I60" s="15" t="s">
        <v>141</v>
      </c>
    </row>
    <row r="61" spans="1:13" s="22" customFormat="1" ht="28.5" customHeight="1" x14ac:dyDescent="0.2">
      <c r="A61" s="70">
        <v>50</v>
      </c>
      <c r="B61" s="75">
        <v>44400000</v>
      </c>
      <c r="C61" s="75" t="s">
        <v>42</v>
      </c>
      <c r="D61" s="14">
        <f>4900+2170</f>
        <v>7070</v>
      </c>
      <c r="E61" s="63" t="s">
        <v>10</v>
      </c>
      <c r="F61" s="36" t="s">
        <v>12</v>
      </c>
      <c r="G61" s="36" t="s">
        <v>24</v>
      </c>
      <c r="H61" s="37"/>
      <c r="I61" s="16" t="s">
        <v>178</v>
      </c>
      <c r="J61" s="16"/>
      <c r="K61" s="7"/>
      <c r="L61" s="31"/>
    </row>
    <row r="62" spans="1:13" s="31" customFormat="1" ht="32.25" customHeight="1" x14ac:dyDescent="0.2">
      <c r="A62" s="70">
        <v>51</v>
      </c>
      <c r="B62" s="77"/>
      <c r="C62" s="77"/>
      <c r="D62" s="52">
        <v>2600</v>
      </c>
      <c r="E62" s="63" t="s">
        <v>10</v>
      </c>
      <c r="F62" s="36" t="s">
        <v>12</v>
      </c>
      <c r="G62" s="36" t="s">
        <v>24</v>
      </c>
      <c r="H62" s="37"/>
      <c r="I62" s="16" t="s">
        <v>158</v>
      </c>
      <c r="J62" s="16"/>
      <c r="K62" s="7"/>
    </row>
    <row r="63" spans="1:13" s="31" customFormat="1" ht="35.25" customHeight="1" x14ac:dyDescent="0.2">
      <c r="A63" s="70">
        <v>52</v>
      </c>
      <c r="B63" s="63">
        <v>44500000</v>
      </c>
      <c r="C63" s="63" t="s">
        <v>183</v>
      </c>
      <c r="D63" s="14">
        <f>95000-3672</f>
        <v>91328</v>
      </c>
      <c r="E63" s="63" t="s">
        <v>25</v>
      </c>
      <c r="F63" s="36" t="s">
        <v>179</v>
      </c>
      <c r="G63" s="36" t="s">
        <v>180</v>
      </c>
      <c r="H63" s="37"/>
      <c r="I63" s="32" t="s">
        <v>182</v>
      </c>
      <c r="J63" s="15"/>
      <c r="K63" s="6"/>
    </row>
    <row r="64" spans="1:13" s="31" customFormat="1" ht="35.25" customHeight="1" x14ac:dyDescent="0.2">
      <c r="A64" s="70">
        <v>53</v>
      </c>
      <c r="B64" s="63">
        <v>44800000</v>
      </c>
      <c r="C64" s="63" t="s">
        <v>138</v>
      </c>
      <c r="D64" s="14">
        <f>9550-7120</f>
        <v>2430</v>
      </c>
      <c r="E64" s="63" t="s">
        <v>10</v>
      </c>
      <c r="F64" s="36" t="s">
        <v>12</v>
      </c>
      <c r="G64" s="36" t="s">
        <v>24</v>
      </c>
      <c r="H64" s="37"/>
      <c r="I64" s="32" t="s">
        <v>137</v>
      </c>
      <c r="J64" s="15"/>
      <c r="K64" s="6"/>
    </row>
    <row r="65" spans="1:12" s="30" customFormat="1" ht="78.75" customHeight="1" x14ac:dyDescent="0.2">
      <c r="A65" s="70">
        <v>54</v>
      </c>
      <c r="B65" s="63">
        <v>45200000</v>
      </c>
      <c r="C65" s="107" t="s">
        <v>64</v>
      </c>
      <c r="D65" s="110">
        <f>6152150-20100</f>
        <v>6132050</v>
      </c>
      <c r="E65" s="63" t="s">
        <v>25</v>
      </c>
      <c r="F65" s="36" t="s">
        <v>12</v>
      </c>
      <c r="G65" s="36" t="s">
        <v>24</v>
      </c>
      <c r="H65" s="37"/>
      <c r="I65" s="73" t="s">
        <v>187</v>
      </c>
      <c r="J65" s="24"/>
      <c r="K65" s="7"/>
      <c r="L65" s="31"/>
    </row>
    <row r="66" spans="1:12" s="31" customFormat="1" ht="33.75" customHeight="1" x14ac:dyDescent="0.2">
      <c r="A66" s="70">
        <v>55</v>
      </c>
      <c r="B66" s="62">
        <v>45300000</v>
      </c>
      <c r="C66" s="62" t="s">
        <v>72</v>
      </c>
      <c r="D66" s="110">
        <f>28000+5550</f>
        <v>33550</v>
      </c>
      <c r="E66" s="63" t="s">
        <v>25</v>
      </c>
      <c r="F66" s="36" t="s">
        <v>12</v>
      </c>
      <c r="G66" s="36" t="s">
        <v>24</v>
      </c>
      <c r="H66" s="37"/>
      <c r="I66" s="58" t="s">
        <v>159</v>
      </c>
      <c r="J66" s="16"/>
      <c r="K66" s="7"/>
    </row>
    <row r="67" spans="1:12" s="9" customFormat="1" ht="38.25" customHeight="1" x14ac:dyDescent="0.2">
      <c r="A67" s="70">
        <v>56</v>
      </c>
      <c r="B67" s="63">
        <v>45400000</v>
      </c>
      <c r="C67" s="63" t="s">
        <v>71</v>
      </c>
      <c r="D67" s="52">
        <f>769271-2000</f>
        <v>767271</v>
      </c>
      <c r="E67" s="63" t="s">
        <v>25</v>
      </c>
      <c r="F67" s="36" t="s">
        <v>12</v>
      </c>
      <c r="G67" s="36" t="s">
        <v>24</v>
      </c>
      <c r="H67" s="63"/>
      <c r="I67" s="7" t="s">
        <v>142</v>
      </c>
      <c r="J67" s="7"/>
    </row>
    <row r="68" spans="1:12" s="25" customFormat="1" ht="34.5" customHeight="1" x14ac:dyDescent="0.2">
      <c r="A68" s="70">
        <v>57</v>
      </c>
      <c r="B68" s="63">
        <v>48200000</v>
      </c>
      <c r="C68" s="63" t="s">
        <v>63</v>
      </c>
      <c r="D68" s="14">
        <v>2000</v>
      </c>
      <c r="E68" s="63" t="s">
        <v>10</v>
      </c>
      <c r="F68" s="36" t="s">
        <v>12</v>
      </c>
      <c r="G68" s="36" t="s">
        <v>24</v>
      </c>
      <c r="H68" s="37"/>
      <c r="I68" s="16" t="s">
        <v>81</v>
      </c>
      <c r="J68" s="16"/>
      <c r="K68" s="6"/>
      <c r="L68" s="31"/>
    </row>
    <row r="69" spans="1:12" s="31" customFormat="1" ht="32.25" customHeight="1" x14ac:dyDescent="0.2">
      <c r="A69" s="70">
        <v>58</v>
      </c>
      <c r="B69" s="75">
        <v>48600000</v>
      </c>
      <c r="C69" s="75" t="s">
        <v>56</v>
      </c>
      <c r="D69" s="14">
        <f>5000-500</f>
        <v>4500</v>
      </c>
      <c r="E69" s="63" t="s">
        <v>10</v>
      </c>
      <c r="F69" s="36" t="s">
        <v>12</v>
      </c>
      <c r="G69" s="36" t="s">
        <v>24</v>
      </c>
      <c r="H69" s="37" t="s">
        <v>17</v>
      </c>
      <c r="I69" s="16" t="s">
        <v>135</v>
      </c>
      <c r="J69" s="16"/>
      <c r="K69" s="6"/>
    </row>
    <row r="70" spans="1:12" s="29" customFormat="1" ht="36.75" customHeight="1" x14ac:dyDescent="0.2">
      <c r="A70" s="70">
        <v>59</v>
      </c>
      <c r="B70" s="77"/>
      <c r="C70" s="77"/>
      <c r="D70" s="14">
        <f>900+3000</f>
        <v>3900</v>
      </c>
      <c r="E70" s="63" t="s">
        <v>10</v>
      </c>
      <c r="F70" s="36" t="s">
        <v>12</v>
      </c>
      <c r="G70" s="36" t="s">
        <v>24</v>
      </c>
      <c r="H70" s="37"/>
      <c r="I70" s="16" t="s">
        <v>153</v>
      </c>
      <c r="J70" s="16"/>
      <c r="K70" s="6"/>
      <c r="L70" s="31"/>
    </row>
    <row r="71" spans="1:12" s="22" customFormat="1" ht="29.25" customHeight="1" x14ac:dyDescent="0.2">
      <c r="A71" s="70">
        <v>60</v>
      </c>
      <c r="B71" s="79">
        <v>50100000</v>
      </c>
      <c r="C71" s="79" t="s">
        <v>23</v>
      </c>
      <c r="D71" s="14">
        <f>652000-300</f>
        <v>651700</v>
      </c>
      <c r="E71" s="63" t="s">
        <v>25</v>
      </c>
      <c r="F71" s="36" t="s">
        <v>12</v>
      </c>
      <c r="G71" s="36" t="s">
        <v>24</v>
      </c>
      <c r="H71" s="51"/>
      <c r="I71" s="15" t="s">
        <v>175</v>
      </c>
      <c r="J71" s="15"/>
      <c r="K71" s="15"/>
      <c r="L71" s="31"/>
    </row>
    <row r="72" spans="1:12" s="31" customFormat="1" ht="30.75" customHeight="1" x14ac:dyDescent="0.2">
      <c r="A72" s="70">
        <v>61</v>
      </c>
      <c r="B72" s="79"/>
      <c r="C72" s="79"/>
      <c r="D72" s="104">
        <f>448797+3100</f>
        <v>451897</v>
      </c>
      <c r="E72" s="63" t="s">
        <v>10</v>
      </c>
      <c r="F72" s="36" t="s">
        <v>12</v>
      </c>
      <c r="G72" s="36" t="s">
        <v>24</v>
      </c>
      <c r="H72" s="37" t="s">
        <v>129</v>
      </c>
      <c r="I72" s="72" t="s">
        <v>188</v>
      </c>
      <c r="J72" s="15"/>
      <c r="K72" s="15"/>
    </row>
    <row r="73" spans="1:12" s="31" customFormat="1" ht="28.5" customHeight="1" x14ac:dyDescent="0.2">
      <c r="A73" s="70">
        <v>62</v>
      </c>
      <c r="B73" s="79"/>
      <c r="C73" s="79"/>
      <c r="D73" s="14">
        <f>151663+1100</f>
        <v>152763</v>
      </c>
      <c r="E73" s="63" t="s">
        <v>14</v>
      </c>
      <c r="F73" s="36" t="s">
        <v>12</v>
      </c>
      <c r="G73" s="36" t="s">
        <v>24</v>
      </c>
      <c r="H73" s="37" t="s">
        <v>13</v>
      </c>
      <c r="I73" s="54" t="s">
        <v>143</v>
      </c>
      <c r="J73" s="19"/>
    </row>
    <row r="74" spans="1:12" s="31" customFormat="1" ht="27" customHeight="1" x14ac:dyDescent="0.2">
      <c r="A74" s="70">
        <v>63</v>
      </c>
      <c r="B74" s="79"/>
      <c r="C74" s="79"/>
      <c r="D74" s="60">
        <f>40000-554.6</f>
        <v>39445.4</v>
      </c>
      <c r="E74" s="63" t="s">
        <v>25</v>
      </c>
      <c r="F74" s="36" t="s">
        <v>12</v>
      </c>
      <c r="G74" s="36" t="s">
        <v>24</v>
      </c>
      <c r="H74" s="37" t="s">
        <v>120</v>
      </c>
      <c r="I74" s="15" t="s">
        <v>176</v>
      </c>
      <c r="J74" s="15"/>
      <c r="K74" s="15"/>
    </row>
    <row r="75" spans="1:12" s="22" customFormat="1" ht="35.25" customHeight="1" x14ac:dyDescent="0.2">
      <c r="A75" s="70">
        <v>64</v>
      </c>
      <c r="B75" s="79"/>
      <c r="C75" s="79"/>
      <c r="D75" s="110">
        <f>1450-330</f>
        <v>1120</v>
      </c>
      <c r="E75" s="63" t="s">
        <v>25</v>
      </c>
      <c r="F75" s="36" t="s">
        <v>12</v>
      </c>
      <c r="G75" s="36" t="s">
        <v>24</v>
      </c>
      <c r="H75" s="37"/>
      <c r="I75" s="15" t="s">
        <v>108</v>
      </c>
      <c r="J75" s="15"/>
      <c r="K75" s="15"/>
      <c r="L75" s="31"/>
    </row>
    <row r="76" spans="1:12" s="22" customFormat="1" ht="56.25" customHeight="1" x14ac:dyDescent="0.2">
      <c r="A76" s="70">
        <v>65</v>
      </c>
      <c r="B76" s="63">
        <v>50300000</v>
      </c>
      <c r="C76" s="63" t="s">
        <v>41</v>
      </c>
      <c r="D76" s="14">
        <f>5000+2000</f>
        <v>7000</v>
      </c>
      <c r="E76" s="63" t="s">
        <v>25</v>
      </c>
      <c r="F76" s="36" t="s">
        <v>12</v>
      </c>
      <c r="G76" s="36" t="s">
        <v>24</v>
      </c>
      <c r="H76" s="37"/>
      <c r="I76" s="7" t="s">
        <v>131</v>
      </c>
      <c r="J76" s="7"/>
      <c r="K76" s="6"/>
      <c r="L76" s="31"/>
    </row>
    <row r="77" spans="1:12" s="31" customFormat="1" ht="49.5" customHeight="1" x14ac:dyDescent="0.2">
      <c r="A77" s="70">
        <v>66</v>
      </c>
      <c r="B77" s="63">
        <v>50500000</v>
      </c>
      <c r="C77" s="63" t="s">
        <v>148</v>
      </c>
      <c r="D77" s="14">
        <v>2000</v>
      </c>
      <c r="E77" s="63" t="s">
        <v>10</v>
      </c>
      <c r="F77" s="36" t="s">
        <v>12</v>
      </c>
      <c r="G77" s="36" t="s">
        <v>24</v>
      </c>
      <c r="H77" s="37"/>
      <c r="I77" s="65" t="s">
        <v>149</v>
      </c>
      <c r="J77" s="6"/>
    </row>
    <row r="78" spans="1:12" s="22" customFormat="1" ht="39" customHeight="1" x14ac:dyDescent="0.2">
      <c r="A78" s="70">
        <v>67</v>
      </c>
      <c r="B78" s="63">
        <v>50700000</v>
      </c>
      <c r="C78" s="63" t="s">
        <v>44</v>
      </c>
      <c r="D78" s="14">
        <f>26000-7500</f>
        <v>18500</v>
      </c>
      <c r="E78" s="63" t="s">
        <v>25</v>
      </c>
      <c r="F78" s="36" t="s">
        <v>12</v>
      </c>
      <c r="G78" s="36" t="s">
        <v>24</v>
      </c>
      <c r="H78" s="37"/>
      <c r="I78" s="7" t="s">
        <v>126</v>
      </c>
      <c r="J78" s="7"/>
      <c r="K78" s="6"/>
      <c r="L78" s="31"/>
    </row>
    <row r="79" spans="1:12" s="45" customFormat="1" ht="30.75" customHeight="1" x14ac:dyDescent="0.2">
      <c r="A79" s="70">
        <v>68</v>
      </c>
      <c r="B79" s="79">
        <v>55300000</v>
      </c>
      <c r="C79" s="79" t="s">
        <v>97</v>
      </c>
      <c r="D79" s="14">
        <v>11000</v>
      </c>
      <c r="E79" s="63" t="s">
        <v>10</v>
      </c>
      <c r="F79" s="36" t="s">
        <v>12</v>
      </c>
      <c r="G79" s="36" t="s">
        <v>24</v>
      </c>
      <c r="H79" s="37" t="s">
        <v>59</v>
      </c>
      <c r="I79" s="7" t="s">
        <v>98</v>
      </c>
      <c r="J79" s="59"/>
    </row>
    <row r="80" spans="1:12" s="50" customFormat="1" ht="36.75" customHeight="1" x14ac:dyDescent="0.2">
      <c r="A80" s="70">
        <v>69</v>
      </c>
      <c r="B80" s="79"/>
      <c r="C80" s="79"/>
      <c r="D80" s="14">
        <v>9000</v>
      </c>
      <c r="E80" s="63" t="s">
        <v>10</v>
      </c>
      <c r="F80" s="36" t="s">
        <v>12</v>
      </c>
      <c r="G80" s="36" t="s">
        <v>24</v>
      </c>
      <c r="H80" s="37"/>
      <c r="I80" s="7" t="s">
        <v>98</v>
      </c>
      <c r="J80" s="59"/>
    </row>
    <row r="81" spans="1:12" s="22" customFormat="1" ht="36" customHeight="1" x14ac:dyDescent="0.2">
      <c r="A81" s="70">
        <v>70</v>
      </c>
      <c r="B81" s="63">
        <v>63100000</v>
      </c>
      <c r="C81" s="63" t="s">
        <v>45</v>
      </c>
      <c r="D81" s="14">
        <f>15000-1150</f>
        <v>13850</v>
      </c>
      <c r="E81" s="63" t="s">
        <v>25</v>
      </c>
      <c r="F81" s="36" t="s">
        <v>12</v>
      </c>
      <c r="G81" s="36" t="s">
        <v>24</v>
      </c>
      <c r="H81" s="37"/>
      <c r="I81" s="15" t="s">
        <v>134</v>
      </c>
      <c r="J81" s="15"/>
      <c r="K81" s="6"/>
      <c r="L81" s="31"/>
    </row>
    <row r="82" spans="1:12" s="21" customFormat="1" ht="36" customHeight="1" x14ac:dyDescent="0.2">
      <c r="A82" s="70">
        <v>71</v>
      </c>
      <c r="B82" s="63">
        <v>63700000</v>
      </c>
      <c r="C82" s="63" t="s">
        <v>19</v>
      </c>
      <c r="D82" s="14">
        <v>91000</v>
      </c>
      <c r="E82" s="63" t="s">
        <v>25</v>
      </c>
      <c r="F82" s="36" t="s">
        <v>12</v>
      </c>
      <c r="G82" s="36" t="s">
        <v>24</v>
      </c>
      <c r="H82" s="51"/>
      <c r="I82" s="7" t="s">
        <v>82</v>
      </c>
      <c r="J82" s="7"/>
      <c r="K82" s="43"/>
      <c r="L82" s="43"/>
    </row>
    <row r="83" spans="1:12" s="39" customFormat="1" ht="33.75" customHeight="1" x14ac:dyDescent="0.2">
      <c r="A83" s="70">
        <v>72</v>
      </c>
      <c r="B83" s="63">
        <v>64100000</v>
      </c>
      <c r="C83" s="63" t="s">
        <v>70</v>
      </c>
      <c r="D83" s="14">
        <f>26000+1000</f>
        <v>27000</v>
      </c>
      <c r="E83" s="63" t="s">
        <v>25</v>
      </c>
      <c r="F83" s="36" t="s">
        <v>12</v>
      </c>
      <c r="G83" s="36" t="s">
        <v>24</v>
      </c>
      <c r="H83" s="37"/>
      <c r="I83" s="15" t="s">
        <v>83</v>
      </c>
      <c r="J83" s="15"/>
      <c r="K83" s="43"/>
      <c r="L83" s="43"/>
    </row>
    <row r="84" spans="1:12" s="22" customFormat="1" ht="30" customHeight="1" x14ac:dyDescent="0.2">
      <c r="A84" s="70">
        <v>73</v>
      </c>
      <c r="B84" s="79">
        <v>64200000</v>
      </c>
      <c r="C84" s="79" t="s">
        <v>39</v>
      </c>
      <c r="D84" s="14">
        <f>50000-8113</f>
        <v>41887</v>
      </c>
      <c r="E84" s="63" t="s">
        <v>14</v>
      </c>
      <c r="F84" s="36" t="s">
        <v>12</v>
      </c>
      <c r="G84" s="36" t="s">
        <v>24</v>
      </c>
      <c r="H84" s="37" t="s">
        <v>13</v>
      </c>
      <c r="I84" s="7" t="s">
        <v>84</v>
      </c>
      <c r="J84" s="7"/>
      <c r="K84" s="7"/>
      <c r="L84" s="31"/>
    </row>
    <row r="85" spans="1:12" s="22" customFormat="1" ht="29.25" customHeight="1" x14ac:dyDescent="0.2">
      <c r="A85" s="70">
        <v>74</v>
      </c>
      <c r="B85" s="79"/>
      <c r="C85" s="79"/>
      <c r="D85" s="14">
        <v>1000</v>
      </c>
      <c r="E85" s="63" t="s">
        <v>10</v>
      </c>
      <c r="F85" s="36" t="s">
        <v>12</v>
      </c>
      <c r="G85" s="36" t="s">
        <v>24</v>
      </c>
      <c r="H85" s="37" t="s">
        <v>18</v>
      </c>
      <c r="I85" s="7" t="s">
        <v>85</v>
      </c>
      <c r="J85" s="7"/>
      <c r="K85" s="7"/>
      <c r="L85" s="31"/>
    </row>
    <row r="86" spans="1:12" s="22" customFormat="1" ht="31.5" customHeight="1" x14ac:dyDescent="0.2">
      <c r="A86" s="70">
        <v>75</v>
      </c>
      <c r="B86" s="79"/>
      <c r="C86" s="79"/>
      <c r="D86" s="14">
        <v>2000</v>
      </c>
      <c r="E86" s="63" t="s">
        <v>10</v>
      </c>
      <c r="F86" s="36" t="s">
        <v>12</v>
      </c>
      <c r="G86" s="36" t="s">
        <v>24</v>
      </c>
      <c r="H86" s="37"/>
      <c r="I86" s="16" t="s">
        <v>86</v>
      </c>
      <c r="J86" s="16"/>
      <c r="K86" s="7"/>
      <c r="L86" s="31"/>
    </row>
    <row r="87" spans="1:12" s="23" customFormat="1" ht="33" customHeight="1" x14ac:dyDescent="0.2">
      <c r="A87" s="70">
        <v>76</v>
      </c>
      <c r="B87" s="79"/>
      <c r="C87" s="79"/>
      <c r="D87" s="14">
        <v>25000</v>
      </c>
      <c r="E87" s="63" t="s">
        <v>10</v>
      </c>
      <c r="F87" s="36" t="s">
        <v>12</v>
      </c>
      <c r="G87" s="36" t="s">
        <v>24</v>
      </c>
      <c r="H87" s="37" t="s">
        <v>62</v>
      </c>
      <c r="I87" s="7" t="s">
        <v>87</v>
      </c>
      <c r="J87" s="7"/>
      <c r="K87" s="31"/>
      <c r="L87" s="31"/>
    </row>
    <row r="88" spans="1:12" s="22" customFormat="1" ht="36" customHeight="1" x14ac:dyDescent="0.2">
      <c r="A88" s="70">
        <v>77</v>
      </c>
      <c r="B88" s="79">
        <v>66500000</v>
      </c>
      <c r="C88" s="79" t="s">
        <v>33</v>
      </c>
      <c r="D88" s="56">
        <f>75000-41000</f>
        <v>34000</v>
      </c>
      <c r="E88" s="63" t="s">
        <v>14</v>
      </c>
      <c r="F88" s="36" t="s">
        <v>12</v>
      </c>
      <c r="G88" s="36" t="s">
        <v>24</v>
      </c>
      <c r="H88" s="37" t="s">
        <v>13</v>
      </c>
      <c r="I88" s="15" t="s">
        <v>88</v>
      </c>
      <c r="J88" s="15"/>
      <c r="K88" s="6"/>
      <c r="L88" s="31"/>
    </row>
    <row r="89" spans="1:12" s="22" customFormat="1" ht="36.75" customHeight="1" x14ac:dyDescent="0.2">
      <c r="A89" s="70">
        <v>78</v>
      </c>
      <c r="B89" s="79"/>
      <c r="C89" s="79"/>
      <c r="D89" s="56">
        <f>125000+41000</f>
        <v>166000</v>
      </c>
      <c r="E89" s="63" t="s">
        <v>25</v>
      </c>
      <c r="F89" s="36" t="s">
        <v>12</v>
      </c>
      <c r="G89" s="36" t="s">
        <v>24</v>
      </c>
      <c r="H89" s="37" t="s">
        <v>67</v>
      </c>
      <c r="I89" s="15" t="s">
        <v>89</v>
      </c>
      <c r="J89" s="15"/>
      <c r="K89" s="6"/>
      <c r="L89" s="31"/>
    </row>
    <row r="90" spans="1:12" s="31" customFormat="1" ht="33.75" customHeight="1" x14ac:dyDescent="0.2">
      <c r="A90" s="70">
        <v>79</v>
      </c>
      <c r="B90" s="75">
        <v>71200000</v>
      </c>
      <c r="C90" s="75" t="s">
        <v>160</v>
      </c>
      <c r="D90" s="110">
        <f>9000-1250</f>
        <v>7750</v>
      </c>
      <c r="E90" s="63" t="s">
        <v>10</v>
      </c>
      <c r="F90" s="36" t="s">
        <v>12</v>
      </c>
      <c r="G90" s="36" t="s">
        <v>24</v>
      </c>
      <c r="H90" s="44"/>
      <c r="I90" s="58" t="s">
        <v>157</v>
      </c>
    </row>
    <row r="91" spans="1:12" s="31" customFormat="1" ht="33.75" customHeight="1" x14ac:dyDescent="0.2">
      <c r="A91" s="70">
        <v>80</v>
      </c>
      <c r="B91" s="77"/>
      <c r="C91" s="77"/>
      <c r="D91" s="104">
        <v>1250</v>
      </c>
      <c r="E91" s="107" t="s">
        <v>10</v>
      </c>
      <c r="F91" s="108" t="s">
        <v>179</v>
      </c>
      <c r="G91" s="108" t="s">
        <v>180</v>
      </c>
      <c r="H91" s="111"/>
      <c r="I91" s="16" t="s">
        <v>190</v>
      </c>
    </row>
    <row r="92" spans="1:12" s="31" customFormat="1" ht="33.75" customHeight="1" x14ac:dyDescent="0.2">
      <c r="A92" s="70">
        <v>81</v>
      </c>
      <c r="B92" s="75">
        <v>71300000</v>
      </c>
      <c r="C92" s="75" t="s">
        <v>168</v>
      </c>
      <c r="D92" s="52">
        <f>245000-235000</f>
        <v>10000</v>
      </c>
      <c r="E92" s="63" t="s">
        <v>25</v>
      </c>
      <c r="F92" s="36" t="s">
        <v>161</v>
      </c>
      <c r="G92" s="36" t="s">
        <v>162</v>
      </c>
      <c r="H92" s="44"/>
      <c r="I92" s="58" t="s">
        <v>157</v>
      </c>
    </row>
    <row r="93" spans="1:12" s="31" customFormat="1" ht="33.75" customHeight="1" x14ac:dyDescent="0.2">
      <c r="A93" s="70">
        <v>82</v>
      </c>
      <c r="B93" s="77"/>
      <c r="C93" s="77"/>
      <c r="D93" s="14">
        <v>245000</v>
      </c>
      <c r="E93" s="63" t="s">
        <v>25</v>
      </c>
      <c r="F93" s="36" t="s">
        <v>179</v>
      </c>
      <c r="G93" s="36" t="s">
        <v>180</v>
      </c>
      <c r="H93" s="44"/>
      <c r="I93" s="58" t="s">
        <v>157</v>
      </c>
    </row>
    <row r="94" spans="1:12" s="22" customFormat="1" ht="38.25" customHeight="1" x14ac:dyDescent="0.2">
      <c r="A94" s="70">
        <v>83</v>
      </c>
      <c r="B94" s="75">
        <v>72200000</v>
      </c>
      <c r="C94" s="75" t="s">
        <v>55</v>
      </c>
      <c r="D94" s="104">
        <f>340641+33900</f>
        <v>374541</v>
      </c>
      <c r="E94" s="63" t="s">
        <v>10</v>
      </c>
      <c r="F94" s="36" t="s">
        <v>12</v>
      </c>
      <c r="G94" s="36" t="s">
        <v>24</v>
      </c>
      <c r="H94" s="37" t="s">
        <v>17</v>
      </c>
      <c r="I94" s="74" t="s">
        <v>189</v>
      </c>
      <c r="J94" s="16"/>
      <c r="K94" s="7"/>
      <c r="L94" s="31"/>
    </row>
    <row r="95" spans="1:12" s="23" customFormat="1" ht="26.25" customHeight="1" x14ac:dyDescent="0.2">
      <c r="A95" s="70">
        <v>84</v>
      </c>
      <c r="B95" s="76"/>
      <c r="C95" s="76"/>
      <c r="D95" s="14">
        <f>8000-3000</f>
        <v>5000</v>
      </c>
      <c r="E95" s="63" t="s">
        <v>10</v>
      </c>
      <c r="F95" s="36" t="s">
        <v>12</v>
      </c>
      <c r="G95" s="36" t="s">
        <v>24</v>
      </c>
      <c r="H95" s="37" t="s">
        <v>16</v>
      </c>
      <c r="I95" s="16" t="s">
        <v>90</v>
      </c>
      <c r="J95" s="16"/>
      <c r="K95" s="7"/>
      <c r="L95" s="31"/>
    </row>
    <row r="96" spans="1:12" s="22" customFormat="1" ht="31.5" customHeight="1" x14ac:dyDescent="0.2">
      <c r="A96" s="70">
        <v>85</v>
      </c>
      <c r="B96" s="63">
        <v>72400000</v>
      </c>
      <c r="C96" s="63" t="s">
        <v>30</v>
      </c>
      <c r="D96" s="14">
        <f>305570+900</f>
        <v>306470</v>
      </c>
      <c r="E96" s="63" t="s">
        <v>32</v>
      </c>
      <c r="F96" s="36" t="s">
        <v>12</v>
      </c>
      <c r="G96" s="36" t="s">
        <v>24</v>
      </c>
      <c r="H96" s="37" t="s">
        <v>16</v>
      </c>
      <c r="I96" s="7" t="s">
        <v>91</v>
      </c>
      <c r="J96" s="7"/>
      <c r="K96" s="7"/>
      <c r="L96" s="31"/>
    </row>
    <row r="97" spans="1:13" s="22" customFormat="1" ht="31.5" customHeight="1" x14ac:dyDescent="0.2">
      <c r="A97" s="70">
        <v>86</v>
      </c>
      <c r="B97" s="63">
        <v>75100000</v>
      </c>
      <c r="C97" s="63" t="s">
        <v>46</v>
      </c>
      <c r="D97" s="14">
        <f>8000+650</f>
        <v>8650</v>
      </c>
      <c r="E97" s="63" t="s">
        <v>10</v>
      </c>
      <c r="F97" s="36" t="s">
        <v>12</v>
      </c>
      <c r="G97" s="36" t="s">
        <v>24</v>
      </c>
      <c r="H97" s="37" t="s">
        <v>17</v>
      </c>
      <c r="I97" s="7" t="s">
        <v>170</v>
      </c>
      <c r="J97" s="16"/>
      <c r="K97" s="6"/>
      <c r="L97" s="31"/>
    </row>
    <row r="98" spans="1:13" s="31" customFormat="1" ht="32.25" customHeight="1" x14ac:dyDescent="0.2">
      <c r="A98" s="70">
        <v>87</v>
      </c>
      <c r="B98" s="63">
        <v>77100000</v>
      </c>
      <c r="C98" s="63" t="s">
        <v>110</v>
      </c>
      <c r="D98" s="14">
        <f>5000-4900</f>
        <v>100</v>
      </c>
      <c r="E98" s="63" t="s">
        <v>10</v>
      </c>
      <c r="F98" s="36" t="s">
        <v>12</v>
      </c>
      <c r="G98" s="36" t="s">
        <v>24</v>
      </c>
      <c r="H98" s="37"/>
      <c r="I98" s="32" t="s">
        <v>109</v>
      </c>
      <c r="J98" s="15"/>
      <c r="K98" s="6"/>
    </row>
    <row r="99" spans="1:13" s="22" customFormat="1" ht="33" customHeight="1" x14ac:dyDescent="0.2">
      <c r="A99" s="70">
        <v>88</v>
      </c>
      <c r="B99" s="63">
        <v>77200000</v>
      </c>
      <c r="C99" s="63" t="s">
        <v>27</v>
      </c>
      <c r="D99" s="14">
        <f>834000-7600</f>
        <v>826400</v>
      </c>
      <c r="E99" s="63" t="s">
        <v>25</v>
      </c>
      <c r="F99" s="36" t="s">
        <v>12</v>
      </c>
      <c r="G99" s="36" t="s">
        <v>24</v>
      </c>
      <c r="H99" s="37"/>
      <c r="I99" s="69" t="s">
        <v>184</v>
      </c>
      <c r="J99" s="16"/>
      <c r="K99" s="6"/>
      <c r="L99" s="31"/>
    </row>
    <row r="100" spans="1:13" s="22" customFormat="1" ht="36" customHeight="1" x14ac:dyDescent="0.2">
      <c r="A100" s="70">
        <v>89</v>
      </c>
      <c r="B100" s="63">
        <v>79700000</v>
      </c>
      <c r="C100" s="63" t="s">
        <v>28</v>
      </c>
      <c r="D100" s="14">
        <f>200000+18408</f>
        <v>218408</v>
      </c>
      <c r="E100" s="63" t="s">
        <v>10</v>
      </c>
      <c r="F100" s="36" t="s">
        <v>12</v>
      </c>
      <c r="G100" s="36" t="s">
        <v>24</v>
      </c>
      <c r="H100" s="37" t="s">
        <v>18</v>
      </c>
      <c r="I100" s="7" t="s">
        <v>139</v>
      </c>
      <c r="J100" s="40"/>
      <c r="K100" s="6"/>
      <c r="L100" s="31"/>
    </row>
    <row r="101" spans="1:13" s="31" customFormat="1" ht="35.25" customHeight="1" x14ac:dyDescent="0.2">
      <c r="A101" s="70">
        <v>90</v>
      </c>
      <c r="B101" s="63">
        <v>79900000</v>
      </c>
      <c r="C101" s="63" t="s">
        <v>96</v>
      </c>
      <c r="D101" s="14">
        <f>4000-110</f>
        <v>3890</v>
      </c>
      <c r="E101" s="63" t="s">
        <v>10</v>
      </c>
      <c r="F101" s="36" t="s">
        <v>12</v>
      </c>
      <c r="G101" s="36" t="s">
        <v>24</v>
      </c>
      <c r="H101" s="37"/>
      <c r="I101" s="15" t="s">
        <v>102</v>
      </c>
      <c r="J101" s="15"/>
      <c r="K101" s="6"/>
    </row>
    <row r="102" spans="1:13" s="31" customFormat="1" ht="33" customHeight="1" x14ac:dyDescent="0.2">
      <c r="A102" s="70">
        <v>91</v>
      </c>
      <c r="B102" s="63">
        <v>80500000</v>
      </c>
      <c r="C102" s="63" t="s">
        <v>118</v>
      </c>
      <c r="D102" s="14">
        <f>5000-3000</f>
        <v>2000</v>
      </c>
      <c r="E102" s="63" t="s">
        <v>10</v>
      </c>
      <c r="F102" s="36" t="s">
        <v>12</v>
      </c>
      <c r="G102" s="36" t="s">
        <v>24</v>
      </c>
      <c r="H102" s="37"/>
      <c r="I102" s="65" t="s">
        <v>119</v>
      </c>
    </row>
    <row r="103" spans="1:13" s="22" customFormat="1" ht="35.25" customHeight="1" x14ac:dyDescent="0.2">
      <c r="A103" s="70">
        <v>92</v>
      </c>
      <c r="B103" s="63">
        <v>90900000</v>
      </c>
      <c r="C103" s="63" t="s">
        <v>52</v>
      </c>
      <c r="D103" s="14">
        <f>48004+64348</f>
        <v>112352</v>
      </c>
      <c r="E103" s="63" t="s">
        <v>25</v>
      </c>
      <c r="F103" s="36" t="s">
        <v>12</v>
      </c>
      <c r="G103" s="36" t="s">
        <v>24</v>
      </c>
      <c r="H103" s="37"/>
      <c r="I103" s="7" t="s">
        <v>173</v>
      </c>
      <c r="J103" s="7"/>
      <c r="K103" s="6"/>
      <c r="L103" s="31"/>
      <c r="M103" s="8"/>
    </row>
    <row r="104" spans="1:13" s="22" customFormat="1" ht="36" customHeight="1" x14ac:dyDescent="0.2">
      <c r="A104" s="70">
        <v>93</v>
      </c>
      <c r="B104" s="63">
        <v>92200000</v>
      </c>
      <c r="C104" s="63" t="s">
        <v>31</v>
      </c>
      <c r="D104" s="14">
        <f>3795+110</f>
        <v>3905</v>
      </c>
      <c r="E104" s="63" t="s">
        <v>10</v>
      </c>
      <c r="F104" s="36" t="s">
        <v>12</v>
      </c>
      <c r="G104" s="36" t="s">
        <v>24</v>
      </c>
      <c r="H104" s="37"/>
      <c r="I104" s="15" t="s">
        <v>150</v>
      </c>
      <c r="J104" s="15"/>
      <c r="K104" s="6"/>
      <c r="L104" s="31"/>
    </row>
    <row r="105" spans="1:13" s="22" customFormat="1" ht="33" customHeight="1" x14ac:dyDescent="0.2">
      <c r="A105" s="70">
        <v>94</v>
      </c>
      <c r="B105" s="63">
        <v>92400000</v>
      </c>
      <c r="C105" s="63" t="s">
        <v>47</v>
      </c>
      <c r="D105" s="14">
        <f>5000-600</f>
        <v>4400</v>
      </c>
      <c r="E105" s="63" t="s">
        <v>10</v>
      </c>
      <c r="F105" s="36" t="s">
        <v>12</v>
      </c>
      <c r="G105" s="36" t="s">
        <v>24</v>
      </c>
      <c r="H105" s="37"/>
      <c r="I105" s="15" t="s">
        <v>92</v>
      </c>
      <c r="J105" s="15"/>
      <c r="K105" s="6"/>
      <c r="L105" s="31"/>
    </row>
    <row r="106" spans="1:13" s="22" customFormat="1" ht="39" customHeight="1" x14ac:dyDescent="0.2">
      <c r="A106" s="70">
        <v>95</v>
      </c>
      <c r="B106" s="63">
        <v>92500000</v>
      </c>
      <c r="C106" s="63" t="s">
        <v>37</v>
      </c>
      <c r="D106" s="14">
        <f>44000-968</f>
        <v>43032</v>
      </c>
      <c r="E106" s="63" t="s">
        <v>10</v>
      </c>
      <c r="F106" s="36" t="s">
        <v>12</v>
      </c>
      <c r="G106" s="36" t="s">
        <v>24</v>
      </c>
      <c r="H106" s="37" t="s">
        <v>17</v>
      </c>
      <c r="I106" s="15" t="s">
        <v>93</v>
      </c>
      <c r="J106" s="15"/>
      <c r="K106" s="6"/>
      <c r="L106" s="31"/>
    </row>
    <row r="107" spans="1:13" x14ac:dyDescent="0.2">
      <c r="C107" s="66"/>
      <c r="D107" s="33"/>
      <c r="E107" s="19"/>
      <c r="F107" s="34"/>
      <c r="G107" s="47"/>
    </row>
    <row r="108" spans="1:13" ht="15" customHeight="1" x14ac:dyDescent="0.2">
      <c r="A108" s="31"/>
      <c r="B108" s="31"/>
      <c r="D108" s="42"/>
      <c r="H108" s="19"/>
      <c r="K108" s="31"/>
    </row>
    <row r="109" spans="1:13" x14ac:dyDescent="0.2">
      <c r="C109" s="66"/>
      <c r="D109" s="33"/>
      <c r="E109" s="19"/>
      <c r="F109" s="34"/>
      <c r="G109" s="47"/>
    </row>
    <row r="110" spans="1:13" ht="27.75" customHeight="1" x14ac:dyDescent="0.2">
      <c r="A110" s="31"/>
      <c r="B110" s="78" t="s">
        <v>53</v>
      </c>
      <c r="C110" s="78"/>
      <c r="D110" s="35"/>
      <c r="E110" s="19"/>
      <c r="F110" s="19"/>
      <c r="K110" s="31"/>
    </row>
    <row r="111" spans="1:13" ht="13.5" customHeight="1" x14ac:dyDescent="0.2">
      <c r="A111" s="31"/>
      <c r="B111" s="31"/>
      <c r="D111" s="4"/>
      <c r="E111" s="99" t="s">
        <v>9</v>
      </c>
      <c r="F111" s="99"/>
      <c r="K111" s="31"/>
    </row>
    <row r="112" spans="1:13" ht="15" customHeight="1" x14ac:dyDescent="0.2">
      <c r="A112" s="31"/>
      <c r="B112" s="31"/>
      <c r="H112" s="19"/>
      <c r="K112" s="31"/>
    </row>
    <row r="113" spans="1:16" ht="31.5" customHeight="1" x14ac:dyDescent="0.2">
      <c r="A113" s="31"/>
      <c r="B113" s="78" t="s">
        <v>20</v>
      </c>
      <c r="C113" s="78"/>
      <c r="D113" s="64"/>
      <c r="H113" s="19"/>
      <c r="K113" s="31"/>
    </row>
    <row r="114" spans="1:16" x14ac:dyDescent="0.2">
      <c r="A114" s="31"/>
      <c r="B114" s="31"/>
      <c r="E114" s="99" t="s">
        <v>9</v>
      </c>
      <c r="F114" s="99"/>
      <c r="K114" s="31"/>
    </row>
    <row r="115" spans="1:16" ht="15" customHeight="1" x14ac:dyDescent="0.2">
      <c r="A115" s="31"/>
      <c r="B115" s="31"/>
      <c r="D115" s="42"/>
      <c r="H115" s="19"/>
      <c r="K115" s="31"/>
    </row>
    <row r="116" spans="1:16" x14ac:dyDescent="0.2">
      <c r="C116" s="66"/>
      <c r="D116" s="33"/>
      <c r="E116" s="19"/>
      <c r="F116" s="34"/>
      <c r="G116" s="47"/>
    </row>
    <row r="120" spans="1:16" x14ac:dyDescent="0.2">
      <c r="A120" s="31"/>
      <c r="B120" s="31"/>
      <c r="K120" s="31"/>
      <c r="O120" s="1"/>
      <c r="P120" s="1"/>
    </row>
    <row r="121" spans="1:16" x14ac:dyDescent="0.2">
      <c r="A121" s="31"/>
      <c r="B121" s="31"/>
      <c r="C121" s="66"/>
      <c r="K121" s="31"/>
      <c r="O121" s="1"/>
      <c r="P121" s="1"/>
    </row>
    <row r="122" spans="1:16" x14ac:dyDescent="0.2">
      <c r="A122" s="31"/>
      <c r="B122" s="31"/>
      <c r="C122" s="66"/>
      <c r="E122" s="66"/>
      <c r="K122" s="31"/>
      <c r="O122" s="1"/>
      <c r="P122" s="1"/>
    </row>
    <row r="123" spans="1:16" ht="19.5" customHeight="1" x14ac:dyDescent="0.2">
      <c r="A123" s="31"/>
      <c r="B123" s="31"/>
      <c r="C123" s="66"/>
      <c r="K123" s="31"/>
      <c r="O123" s="1"/>
      <c r="P123" s="1"/>
    </row>
    <row r="124" spans="1:16" x14ac:dyDescent="0.2">
      <c r="A124" s="31"/>
      <c r="B124" s="31"/>
      <c r="K124" s="31"/>
      <c r="O124" s="1"/>
      <c r="P124" s="1"/>
    </row>
    <row r="125" spans="1:16" ht="24.75" customHeight="1" x14ac:dyDescent="0.2">
      <c r="A125" s="31"/>
      <c r="B125" s="31"/>
      <c r="C125" s="19"/>
      <c r="K125" s="31"/>
      <c r="O125" s="1"/>
      <c r="P125" s="1"/>
    </row>
    <row r="126" spans="1:16" ht="22.5" customHeight="1" x14ac:dyDescent="0.2">
      <c r="A126" s="31"/>
      <c r="B126" s="31"/>
      <c r="K126" s="31"/>
      <c r="O126" s="1"/>
      <c r="P126" s="1"/>
    </row>
    <row r="127" spans="1:16" x14ac:dyDescent="0.2">
      <c r="A127" s="31"/>
      <c r="B127" s="31"/>
      <c r="C127" s="5"/>
      <c r="K127" s="31"/>
      <c r="O127" s="1"/>
      <c r="P127" s="1"/>
    </row>
    <row r="134" spans="1:9" ht="22.5" x14ac:dyDescent="0.2">
      <c r="A134" s="31"/>
      <c r="B134" s="31"/>
      <c r="I134" s="41"/>
    </row>
  </sheetData>
  <sheetProtection algorithmName="SHA-512" hashValue="XIUuLZ9P5u1R0efrg8jFgLiufIqE/TBT+MS9PLH/0dN5AWf12jW3Fkt3sGv7TPt1mDDzYJ+nLT1MPRVWhlrdJw==" saltValue="czP8wv2oAH7921Gla6qhEA==" spinCount="100000" sheet="1" objects="1" scenarios="1"/>
  <mergeCells count="53">
    <mergeCell ref="C52:C53"/>
    <mergeCell ref="B45:B46"/>
    <mergeCell ref="C45:C46"/>
    <mergeCell ref="B56:B57"/>
    <mergeCell ref="C56:C57"/>
    <mergeCell ref="E111:F111"/>
    <mergeCell ref="B69:B70"/>
    <mergeCell ref="C69:C70"/>
    <mergeCell ref="B61:B62"/>
    <mergeCell ref="C61:C62"/>
    <mergeCell ref="B71:B75"/>
    <mergeCell ref="C71:C75"/>
    <mergeCell ref="B110:C110"/>
    <mergeCell ref="B94:B95"/>
    <mergeCell ref="C94:C95"/>
    <mergeCell ref="B92:B93"/>
    <mergeCell ref="C92:C93"/>
    <mergeCell ref="B84:B87"/>
    <mergeCell ref="C84:C87"/>
    <mergeCell ref="B79:B80"/>
    <mergeCell ref="C79:C80"/>
    <mergeCell ref="E114:F114"/>
    <mergeCell ref="A8:H8"/>
    <mergeCell ref="A9:H9"/>
    <mergeCell ref="B27:B28"/>
    <mergeCell ref="C27:C28"/>
    <mergeCell ref="B21:B22"/>
    <mergeCell ref="C21:C22"/>
    <mergeCell ref="B14:B15"/>
    <mergeCell ref="C14:C15"/>
    <mergeCell ref="C3:G3"/>
    <mergeCell ref="A4:E5"/>
    <mergeCell ref="F4:H4"/>
    <mergeCell ref="F5:H5"/>
    <mergeCell ref="A6:E6"/>
    <mergeCell ref="F6:H7"/>
    <mergeCell ref="A7:E7"/>
    <mergeCell ref="B29:B31"/>
    <mergeCell ref="C29:C31"/>
    <mergeCell ref="B113:C113"/>
    <mergeCell ref="B33:B34"/>
    <mergeCell ref="C33:C34"/>
    <mergeCell ref="B37:B38"/>
    <mergeCell ref="C37:C38"/>
    <mergeCell ref="B90:B91"/>
    <mergeCell ref="C90:C91"/>
    <mergeCell ref="B42:B43"/>
    <mergeCell ref="C42:C43"/>
    <mergeCell ref="B49:B51"/>
    <mergeCell ref="C49:C51"/>
    <mergeCell ref="B52:B53"/>
    <mergeCell ref="B88:B89"/>
    <mergeCell ref="C88:C89"/>
  </mergeCells>
  <phoneticPr fontId="1" type="noConversion"/>
  <pageMargins left="0.25" right="0" top="0.5" bottom="0" header="1.3" footer="1.3"/>
  <pageSetup paperSize="9" scale="6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3F26C-0A48-490D-8753-0471BE73CB02}">
  <dimension ref="A1:N132"/>
  <sheetViews>
    <sheetView workbookViewId="0">
      <selection activeCell="G13" sqref="G13"/>
    </sheetView>
  </sheetViews>
  <sheetFormatPr defaultRowHeight="13.5" x14ac:dyDescent="0.2"/>
  <cols>
    <col min="1" max="1" width="3.85546875" style="114" customWidth="1"/>
    <col min="2" max="2" width="10" style="114" customWidth="1"/>
    <col min="3" max="3" width="53.7109375" style="115" customWidth="1"/>
    <col min="4" max="4" width="12.28515625" style="3" customWidth="1"/>
    <col min="5" max="5" width="10.42578125" style="115" customWidth="1"/>
    <col min="6" max="6" width="12.5703125" style="115" customWidth="1"/>
    <col min="7" max="7" width="16.42578125" style="115" customWidth="1"/>
    <col min="8" max="8" width="56.5703125" style="115" customWidth="1"/>
    <col min="9" max="9" width="29" style="114" hidden="1" customWidth="1"/>
    <col min="10" max="12" width="9.140625" style="115"/>
    <col min="13" max="16384" width="9.140625" style="2"/>
  </cols>
  <sheetData>
    <row r="1" spans="1:12" ht="18" customHeight="1" x14ac:dyDescent="0.2"/>
    <row r="2" spans="1:12" s="10" customFormat="1" ht="23.25" customHeight="1" x14ac:dyDescent="0.2">
      <c r="A2" s="115"/>
      <c r="B2" s="115"/>
      <c r="C2" s="115"/>
      <c r="D2" s="3"/>
      <c r="E2" s="115"/>
      <c r="F2" s="115"/>
      <c r="G2" s="115"/>
      <c r="H2" s="116" t="s">
        <v>194</v>
      </c>
      <c r="I2" s="114"/>
      <c r="J2" s="117"/>
      <c r="K2" s="117"/>
      <c r="L2" s="117"/>
    </row>
    <row r="3" spans="1:12" s="10" customFormat="1" ht="20.25" customHeight="1" x14ac:dyDescent="0.2">
      <c r="A3" s="115"/>
      <c r="B3" s="115"/>
      <c r="C3" s="118" t="s">
        <v>26</v>
      </c>
      <c r="D3" s="118"/>
      <c r="E3" s="118"/>
      <c r="F3" s="118"/>
      <c r="G3" s="118"/>
      <c r="H3" s="115"/>
      <c r="I3" s="114"/>
      <c r="J3" s="119"/>
      <c r="K3" s="117"/>
      <c r="L3" s="117"/>
    </row>
    <row r="4" spans="1:12" s="10" customFormat="1" ht="26.25" customHeight="1" x14ac:dyDescent="0.2">
      <c r="A4" s="120" t="s">
        <v>195</v>
      </c>
      <c r="B4" s="121"/>
      <c r="C4" s="121"/>
      <c r="D4" s="121"/>
      <c r="E4" s="122"/>
      <c r="F4" s="120" t="s">
        <v>7</v>
      </c>
      <c r="G4" s="121"/>
      <c r="H4" s="122"/>
      <c r="I4" s="114"/>
      <c r="J4" s="123"/>
      <c r="K4" s="117"/>
      <c r="L4" s="117"/>
    </row>
    <row r="5" spans="1:12" s="10" customFormat="1" ht="18.75" customHeight="1" x14ac:dyDescent="0.2">
      <c r="A5" s="124"/>
      <c r="B5" s="125"/>
      <c r="C5" s="125"/>
      <c r="D5" s="125"/>
      <c r="E5" s="126"/>
      <c r="F5" s="127">
        <v>204578581</v>
      </c>
      <c r="G5" s="128"/>
      <c r="H5" s="129"/>
      <c r="I5" s="114"/>
      <c r="J5" s="117"/>
      <c r="K5" s="117"/>
      <c r="L5" s="117"/>
    </row>
    <row r="6" spans="1:12" s="10" customFormat="1" ht="22.5" customHeight="1" x14ac:dyDescent="0.2">
      <c r="A6" s="120" t="s">
        <v>8</v>
      </c>
      <c r="B6" s="121"/>
      <c r="C6" s="121"/>
      <c r="D6" s="121"/>
      <c r="E6" s="122"/>
      <c r="F6" s="120" t="s">
        <v>196</v>
      </c>
      <c r="G6" s="130"/>
      <c r="H6" s="131"/>
      <c r="I6" s="114"/>
      <c r="J6" s="117"/>
      <c r="K6" s="117"/>
      <c r="L6" s="117"/>
    </row>
    <row r="7" spans="1:12" s="10" customFormat="1" ht="21.75" customHeight="1" x14ac:dyDescent="0.2">
      <c r="A7" s="127" t="s">
        <v>21</v>
      </c>
      <c r="B7" s="128"/>
      <c r="C7" s="128"/>
      <c r="D7" s="128"/>
      <c r="E7" s="129"/>
      <c r="F7" s="132"/>
      <c r="G7" s="133"/>
      <c r="H7" s="134"/>
      <c r="I7" s="114"/>
      <c r="J7" s="117"/>
      <c r="K7" s="117"/>
      <c r="L7" s="117"/>
    </row>
    <row r="8" spans="1:12" s="10" customFormat="1" ht="21" customHeight="1" x14ac:dyDescent="0.2">
      <c r="A8" s="120" t="s">
        <v>15</v>
      </c>
      <c r="B8" s="121"/>
      <c r="C8" s="121"/>
      <c r="D8" s="121"/>
      <c r="E8" s="121"/>
      <c r="F8" s="121"/>
      <c r="G8" s="121"/>
      <c r="H8" s="122"/>
      <c r="I8" s="114"/>
      <c r="J8" s="117"/>
      <c r="K8" s="117"/>
      <c r="L8" s="117"/>
    </row>
    <row r="9" spans="1:12" s="114" customFormat="1" ht="15.75" customHeight="1" x14ac:dyDescent="0.2">
      <c r="A9" s="135">
        <f>20660140+7779000</f>
        <v>28439140</v>
      </c>
      <c r="B9" s="136"/>
      <c r="C9" s="136"/>
      <c r="D9" s="136"/>
      <c r="E9" s="136"/>
      <c r="F9" s="136"/>
      <c r="G9" s="136"/>
      <c r="H9" s="136"/>
    </row>
    <row r="10" spans="1:12" s="138" customFormat="1" ht="57" customHeight="1" x14ac:dyDescent="0.2">
      <c r="A10" s="137" t="s">
        <v>1</v>
      </c>
      <c r="B10" s="137" t="s">
        <v>2</v>
      </c>
      <c r="C10" s="137" t="s">
        <v>3</v>
      </c>
      <c r="D10" s="18" t="s">
        <v>38</v>
      </c>
      <c r="E10" s="137" t="s">
        <v>4</v>
      </c>
      <c r="F10" s="137" t="s">
        <v>5</v>
      </c>
      <c r="G10" s="137" t="s">
        <v>6</v>
      </c>
      <c r="H10" s="137" t="s">
        <v>0</v>
      </c>
      <c r="I10" s="114"/>
      <c r="J10" s="114"/>
      <c r="K10" s="114"/>
      <c r="L10" s="114"/>
    </row>
    <row r="11" spans="1:12" s="138" customFormat="1" ht="15" customHeight="1" x14ac:dyDescent="0.2">
      <c r="A11" s="137">
        <v>1</v>
      </c>
      <c r="B11" s="137">
        <v>2</v>
      </c>
      <c r="C11" s="137">
        <v>3</v>
      </c>
      <c r="D11" s="14">
        <v>4</v>
      </c>
      <c r="E11" s="137">
        <v>5</v>
      </c>
      <c r="F11" s="137">
        <v>6</v>
      </c>
      <c r="G11" s="137">
        <v>7</v>
      </c>
      <c r="H11" s="137">
        <v>8</v>
      </c>
      <c r="I11" s="114"/>
      <c r="J11" s="114"/>
      <c r="K11" s="114"/>
      <c r="L11" s="114"/>
    </row>
    <row r="12" spans="1:12" s="115" customFormat="1" ht="33" customHeight="1" x14ac:dyDescent="0.2">
      <c r="A12" s="137">
        <v>1</v>
      </c>
      <c r="B12" s="139" t="s">
        <v>34</v>
      </c>
      <c r="C12" s="137" t="s">
        <v>35</v>
      </c>
      <c r="D12" s="14">
        <f>1200250-31600</f>
        <v>1168650</v>
      </c>
      <c r="E12" s="137" t="s">
        <v>14</v>
      </c>
      <c r="F12" s="139" t="s">
        <v>12</v>
      </c>
      <c r="G12" s="139" t="s">
        <v>24</v>
      </c>
      <c r="H12" s="140" t="s">
        <v>13</v>
      </c>
      <c r="I12" s="141" t="s">
        <v>197</v>
      </c>
    </row>
    <row r="13" spans="1:12" s="115" customFormat="1" ht="35.25" customHeight="1" x14ac:dyDescent="0.2">
      <c r="A13" s="137">
        <v>2</v>
      </c>
      <c r="B13" s="142" t="s">
        <v>198</v>
      </c>
      <c r="C13" s="143" t="s">
        <v>49</v>
      </c>
      <c r="D13" s="14">
        <v>9900</v>
      </c>
      <c r="E13" s="137" t="s">
        <v>10</v>
      </c>
      <c r="F13" s="139" t="s">
        <v>12</v>
      </c>
      <c r="G13" s="139" t="s">
        <v>24</v>
      </c>
      <c r="H13" s="140"/>
      <c r="I13" s="144" t="s">
        <v>199</v>
      </c>
    </row>
    <row r="14" spans="1:12" s="115" customFormat="1" ht="35.25" customHeight="1" x14ac:dyDescent="0.2">
      <c r="A14" s="137">
        <v>3</v>
      </c>
      <c r="B14" s="145"/>
      <c r="C14" s="146"/>
      <c r="D14" s="14">
        <f>52000-2864</f>
        <v>49136</v>
      </c>
      <c r="E14" s="137" t="s">
        <v>14</v>
      </c>
      <c r="F14" s="139" t="s">
        <v>12</v>
      </c>
      <c r="G14" s="139" t="s">
        <v>24</v>
      </c>
      <c r="H14" s="140" t="s">
        <v>13</v>
      </c>
      <c r="I14" s="114" t="s">
        <v>200</v>
      </c>
    </row>
    <row r="15" spans="1:12" s="115" customFormat="1" ht="33" customHeight="1" x14ac:dyDescent="0.2">
      <c r="A15" s="137">
        <v>4</v>
      </c>
      <c r="B15" s="137">
        <v>14200000</v>
      </c>
      <c r="C15" s="137" t="s">
        <v>201</v>
      </c>
      <c r="D15" s="14">
        <f>10000-100</f>
        <v>9900</v>
      </c>
      <c r="E15" s="137" t="s">
        <v>10</v>
      </c>
      <c r="F15" s="139" t="s">
        <v>179</v>
      </c>
      <c r="G15" s="139" t="s">
        <v>180</v>
      </c>
      <c r="H15" s="137"/>
      <c r="I15" s="147" t="s">
        <v>202</v>
      </c>
      <c r="J15" s="147"/>
    </row>
    <row r="16" spans="1:12" s="149" customFormat="1" ht="33" customHeight="1" x14ac:dyDescent="0.2">
      <c r="A16" s="137">
        <v>5</v>
      </c>
      <c r="B16" s="137">
        <v>15900000</v>
      </c>
      <c r="C16" s="137" t="s">
        <v>61</v>
      </c>
      <c r="D16" s="14">
        <v>5000</v>
      </c>
      <c r="E16" s="137" t="s">
        <v>10</v>
      </c>
      <c r="F16" s="139" t="s">
        <v>12</v>
      </c>
      <c r="G16" s="139" t="s">
        <v>24</v>
      </c>
      <c r="H16" s="140" t="s">
        <v>59</v>
      </c>
      <c r="I16" s="114" t="s">
        <v>74</v>
      </c>
      <c r="J16" s="148"/>
    </row>
    <row r="17" spans="1:11" s="115" customFormat="1" ht="35.25" customHeight="1" x14ac:dyDescent="0.2">
      <c r="A17" s="137">
        <v>6</v>
      </c>
      <c r="B17" s="137">
        <v>16300000</v>
      </c>
      <c r="C17" s="137" t="s">
        <v>203</v>
      </c>
      <c r="D17" s="52">
        <v>2000</v>
      </c>
      <c r="E17" s="137" t="s">
        <v>10</v>
      </c>
      <c r="F17" s="139" t="s">
        <v>161</v>
      </c>
      <c r="G17" s="139" t="s">
        <v>162</v>
      </c>
      <c r="H17" s="140"/>
      <c r="I17" s="114" t="s">
        <v>204</v>
      </c>
    </row>
    <row r="18" spans="1:11" s="115" customFormat="1" ht="39.75" customHeight="1" x14ac:dyDescent="0.2">
      <c r="A18" s="137">
        <v>7</v>
      </c>
      <c r="B18" s="137">
        <v>16600000</v>
      </c>
      <c r="C18" s="137" t="s">
        <v>205</v>
      </c>
      <c r="D18" s="52">
        <f>1134000-9900</f>
        <v>1124100</v>
      </c>
      <c r="E18" s="137" t="s">
        <v>25</v>
      </c>
      <c r="F18" s="139" t="s">
        <v>12</v>
      </c>
      <c r="G18" s="139" t="s">
        <v>24</v>
      </c>
      <c r="H18" s="140"/>
      <c r="I18" s="150" t="s">
        <v>206</v>
      </c>
      <c r="J18" s="150"/>
      <c r="K18" s="148"/>
    </row>
    <row r="19" spans="1:11" s="115" customFormat="1" ht="38.25" customHeight="1" x14ac:dyDescent="0.2">
      <c r="A19" s="137">
        <v>8</v>
      </c>
      <c r="B19" s="137">
        <v>18100000</v>
      </c>
      <c r="C19" s="137" t="s">
        <v>207</v>
      </c>
      <c r="D19" s="14">
        <f>2050+2000</f>
        <v>4050</v>
      </c>
      <c r="E19" s="137" t="s">
        <v>10</v>
      </c>
      <c r="F19" s="139" t="s">
        <v>12</v>
      </c>
      <c r="G19" s="139" t="s">
        <v>24</v>
      </c>
      <c r="H19" s="140"/>
      <c r="I19" s="151" t="s">
        <v>208</v>
      </c>
    </row>
    <row r="20" spans="1:11" s="115" customFormat="1" ht="35.25" customHeight="1" x14ac:dyDescent="0.2">
      <c r="A20" s="137">
        <v>9</v>
      </c>
      <c r="B20" s="137">
        <v>18200000</v>
      </c>
      <c r="C20" s="137" t="s">
        <v>209</v>
      </c>
      <c r="D20" s="14">
        <v>1630</v>
      </c>
      <c r="E20" s="137" t="s">
        <v>10</v>
      </c>
      <c r="F20" s="139" t="s">
        <v>161</v>
      </c>
      <c r="G20" s="139" t="s">
        <v>162</v>
      </c>
      <c r="H20" s="140"/>
      <c r="I20" s="114" t="s">
        <v>210</v>
      </c>
    </row>
    <row r="21" spans="1:11" s="115" customFormat="1" ht="35.25" customHeight="1" x14ac:dyDescent="0.2">
      <c r="A21" s="137">
        <v>10</v>
      </c>
      <c r="B21" s="137">
        <v>18300000</v>
      </c>
      <c r="C21" s="137" t="s">
        <v>103</v>
      </c>
      <c r="D21" s="14">
        <v>7000</v>
      </c>
      <c r="E21" s="137" t="s">
        <v>10</v>
      </c>
      <c r="F21" s="139" t="s">
        <v>12</v>
      </c>
      <c r="G21" s="139" t="s">
        <v>24</v>
      </c>
      <c r="H21" s="140"/>
      <c r="I21" s="114" t="s">
        <v>211</v>
      </c>
    </row>
    <row r="22" spans="1:11" s="115" customFormat="1" ht="36" customHeight="1" x14ac:dyDescent="0.2">
      <c r="A22" s="137">
        <v>11</v>
      </c>
      <c r="B22" s="137">
        <v>18400000</v>
      </c>
      <c r="C22" s="137" t="s">
        <v>65</v>
      </c>
      <c r="D22" s="14">
        <f>70000-2126</f>
        <v>67874</v>
      </c>
      <c r="E22" s="137" t="s">
        <v>25</v>
      </c>
      <c r="F22" s="139" t="s">
        <v>12</v>
      </c>
      <c r="G22" s="139" t="s">
        <v>24</v>
      </c>
      <c r="H22" s="140"/>
      <c r="I22" s="151" t="s">
        <v>75</v>
      </c>
      <c r="J22" s="148"/>
    </row>
    <row r="23" spans="1:11" s="115" customFormat="1" ht="38.25" customHeight="1" x14ac:dyDescent="0.2">
      <c r="A23" s="137">
        <v>12</v>
      </c>
      <c r="B23" s="143">
        <v>18500000</v>
      </c>
      <c r="C23" s="143" t="s">
        <v>54</v>
      </c>
      <c r="D23" s="14">
        <f>7000+1800</f>
        <v>8800</v>
      </c>
      <c r="E23" s="137" t="s">
        <v>10</v>
      </c>
      <c r="F23" s="139" t="s">
        <v>12</v>
      </c>
      <c r="G23" s="139" t="s">
        <v>24</v>
      </c>
      <c r="H23" s="140" t="s">
        <v>59</v>
      </c>
      <c r="I23" s="114" t="s">
        <v>212</v>
      </c>
    </row>
    <row r="24" spans="1:11" s="115" customFormat="1" ht="38.25" customHeight="1" x14ac:dyDescent="0.2">
      <c r="A24" s="137">
        <v>13</v>
      </c>
      <c r="B24" s="146"/>
      <c r="C24" s="146"/>
      <c r="D24" s="14">
        <v>9900</v>
      </c>
      <c r="E24" s="137" t="s">
        <v>10</v>
      </c>
      <c r="F24" s="139" t="s">
        <v>12</v>
      </c>
      <c r="G24" s="139" t="s">
        <v>24</v>
      </c>
      <c r="H24" s="140"/>
      <c r="I24" s="114" t="s">
        <v>212</v>
      </c>
    </row>
    <row r="25" spans="1:11" s="115" customFormat="1" ht="36" customHeight="1" x14ac:dyDescent="0.2">
      <c r="A25" s="137">
        <v>14</v>
      </c>
      <c r="B25" s="137">
        <v>18800000</v>
      </c>
      <c r="C25" s="137" t="s">
        <v>163</v>
      </c>
      <c r="D25" s="14">
        <f>130000+6000</f>
        <v>136000</v>
      </c>
      <c r="E25" s="137" t="s">
        <v>25</v>
      </c>
      <c r="F25" s="139" t="s">
        <v>12</v>
      </c>
      <c r="G25" s="139" t="s">
        <v>24</v>
      </c>
      <c r="H25" s="140"/>
      <c r="I25" s="151" t="s">
        <v>213</v>
      </c>
      <c r="J25" s="148"/>
    </row>
    <row r="26" spans="1:11" s="115" customFormat="1" ht="31.5" customHeight="1" x14ac:dyDescent="0.2">
      <c r="A26" s="137">
        <v>15</v>
      </c>
      <c r="B26" s="137">
        <v>18900000</v>
      </c>
      <c r="C26" s="137" t="s">
        <v>214</v>
      </c>
      <c r="D26" s="14">
        <f>3100-100</f>
        <v>3000</v>
      </c>
      <c r="E26" s="137" t="s">
        <v>10</v>
      </c>
      <c r="F26" s="139" t="s">
        <v>12</v>
      </c>
      <c r="G26" s="139" t="s">
        <v>24</v>
      </c>
      <c r="H26" s="140"/>
      <c r="I26" s="114" t="s">
        <v>215</v>
      </c>
      <c r="J26" s="148"/>
    </row>
    <row r="27" spans="1:11" s="115" customFormat="1" ht="33.75" customHeight="1" x14ac:dyDescent="0.2">
      <c r="A27" s="137">
        <v>16</v>
      </c>
      <c r="B27" s="137">
        <v>19400000</v>
      </c>
      <c r="C27" s="137" t="s">
        <v>216</v>
      </c>
      <c r="D27" s="14">
        <v>1000</v>
      </c>
      <c r="E27" s="137" t="s">
        <v>10</v>
      </c>
      <c r="F27" s="139" t="s">
        <v>12</v>
      </c>
      <c r="G27" s="139" t="s">
        <v>24</v>
      </c>
      <c r="H27" s="140"/>
      <c r="I27" s="151" t="s">
        <v>217</v>
      </c>
      <c r="J27" s="152"/>
      <c r="K27" s="148"/>
    </row>
    <row r="28" spans="1:11" s="115" customFormat="1" ht="33.75" customHeight="1" x14ac:dyDescent="0.2">
      <c r="A28" s="137">
        <v>17</v>
      </c>
      <c r="B28" s="137">
        <v>19600000</v>
      </c>
      <c r="C28" s="137" t="s">
        <v>218</v>
      </c>
      <c r="D28" s="14">
        <v>200</v>
      </c>
      <c r="E28" s="137" t="s">
        <v>10</v>
      </c>
      <c r="F28" s="139" t="s">
        <v>161</v>
      </c>
      <c r="G28" s="139" t="s">
        <v>162</v>
      </c>
      <c r="H28" s="153"/>
      <c r="I28" s="150" t="s">
        <v>219</v>
      </c>
    </row>
    <row r="29" spans="1:11" s="115" customFormat="1" ht="33" customHeight="1" x14ac:dyDescent="0.2">
      <c r="A29" s="137">
        <v>18</v>
      </c>
      <c r="B29" s="137">
        <v>22100000</v>
      </c>
      <c r="C29" s="137" t="s">
        <v>220</v>
      </c>
      <c r="D29" s="14">
        <f>9000-300</f>
        <v>8700</v>
      </c>
      <c r="E29" s="137" t="s">
        <v>10</v>
      </c>
      <c r="F29" s="139" t="s">
        <v>12</v>
      </c>
      <c r="G29" s="139" t="s">
        <v>24</v>
      </c>
      <c r="H29" s="140"/>
      <c r="I29" s="144" t="s">
        <v>221</v>
      </c>
    </row>
    <row r="30" spans="1:11" s="115" customFormat="1" ht="42" customHeight="1" x14ac:dyDescent="0.2">
      <c r="A30" s="137">
        <v>19</v>
      </c>
      <c r="B30" s="137">
        <v>22400000</v>
      </c>
      <c r="C30" s="137" t="s">
        <v>57</v>
      </c>
      <c r="D30" s="14">
        <f>5000+1000</f>
        <v>6000</v>
      </c>
      <c r="E30" s="137" t="s">
        <v>10</v>
      </c>
      <c r="F30" s="139" t="s">
        <v>12</v>
      </c>
      <c r="G30" s="139" t="s">
        <v>24</v>
      </c>
      <c r="H30" s="140"/>
      <c r="I30" s="151" t="s">
        <v>222</v>
      </c>
    </row>
    <row r="31" spans="1:11" s="115" customFormat="1" ht="44.25" customHeight="1" x14ac:dyDescent="0.2">
      <c r="A31" s="137">
        <v>20</v>
      </c>
      <c r="B31" s="137">
        <v>22800000</v>
      </c>
      <c r="C31" s="137" t="s">
        <v>113</v>
      </c>
      <c r="D31" s="14">
        <v>15000</v>
      </c>
      <c r="E31" s="137" t="s">
        <v>25</v>
      </c>
      <c r="F31" s="139" t="s">
        <v>12</v>
      </c>
      <c r="G31" s="139" t="s">
        <v>24</v>
      </c>
      <c r="H31" s="140"/>
      <c r="I31" s="152" t="s">
        <v>223</v>
      </c>
      <c r="J31" s="152"/>
      <c r="K31" s="154"/>
    </row>
    <row r="32" spans="1:11" s="115" customFormat="1" ht="35.25" customHeight="1" x14ac:dyDescent="0.2">
      <c r="A32" s="137">
        <v>21</v>
      </c>
      <c r="B32" s="137">
        <v>22900000</v>
      </c>
      <c r="C32" s="137" t="s">
        <v>224</v>
      </c>
      <c r="D32" s="14">
        <v>2000</v>
      </c>
      <c r="E32" s="137" t="s">
        <v>10</v>
      </c>
      <c r="F32" s="139" t="s">
        <v>12</v>
      </c>
      <c r="G32" s="139" t="s">
        <v>24</v>
      </c>
      <c r="H32" s="140"/>
      <c r="I32" s="114" t="s">
        <v>225</v>
      </c>
    </row>
    <row r="33" spans="1:11" s="115" customFormat="1" ht="37.5" customHeight="1" x14ac:dyDescent="0.2">
      <c r="A33" s="137">
        <v>22</v>
      </c>
      <c r="B33" s="137">
        <v>24400000</v>
      </c>
      <c r="C33" s="137" t="s">
        <v>111</v>
      </c>
      <c r="D33" s="14">
        <f>2000+7100</f>
        <v>9100</v>
      </c>
      <c r="E33" s="137" t="s">
        <v>10</v>
      </c>
      <c r="F33" s="139" t="s">
        <v>12</v>
      </c>
      <c r="G33" s="139" t="s">
        <v>24</v>
      </c>
      <c r="H33" s="140"/>
      <c r="I33" s="144" t="s">
        <v>112</v>
      </c>
    </row>
    <row r="34" spans="1:11" s="115" customFormat="1" ht="35.25" customHeight="1" x14ac:dyDescent="0.2">
      <c r="A34" s="137">
        <v>23</v>
      </c>
      <c r="B34" s="137">
        <v>24900000</v>
      </c>
      <c r="C34" s="137" t="s">
        <v>226</v>
      </c>
      <c r="D34" s="14">
        <v>480</v>
      </c>
      <c r="E34" s="137" t="s">
        <v>10</v>
      </c>
      <c r="F34" s="139" t="s">
        <v>161</v>
      </c>
      <c r="G34" s="139" t="s">
        <v>162</v>
      </c>
      <c r="H34" s="140"/>
      <c r="I34" s="114" t="s">
        <v>204</v>
      </c>
    </row>
    <row r="35" spans="1:11" s="115" customFormat="1" ht="31.5" customHeight="1" x14ac:dyDescent="0.2">
      <c r="A35" s="137">
        <v>24</v>
      </c>
      <c r="B35" s="155">
        <v>30100000</v>
      </c>
      <c r="C35" s="155" t="s">
        <v>22</v>
      </c>
      <c r="D35" s="53">
        <v>8000</v>
      </c>
      <c r="E35" s="137" t="s">
        <v>14</v>
      </c>
      <c r="F35" s="139" t="s">
        <v>12</v>
      </c>
      <c r="G35" s="139" t="s">
        <v>24</v>
      </c>
      <c r="H35" s="140" t="s">
        <v>13</v>
      </c>
      <c r="I35" s="114" t="s">
        <v>227</v>
      </c>
    </row>
    <row r="36" spans="1:11" s="115" customFormat="1" ht="34.5" customHeight="1" x14ac:dyDescent="0.2">
      <c r="A36" s="137">
        <v>25</v>
      </c>
      <c r="B36" s="155"/>
      <c r="C36" s="155"/>
      <c r="D36" s="53">
        <v>9000</v>
      </c>
      <c r="E36" s="137" t="s">
        <v>10</v>
      </c>
      <c r="F36" s="139" t="s">
        <v>12</v>
      </c>
      <c r="G36" s="139" t="s">
        <v>24</v>
      </c>
      <c r="H36" s="140"/>
      <c r="I36" s="114" t="s">
        <v>228</v>
      </c>
    </row>
    <row r="37" spans="1:11" s="115" customFormat="1" ht="27" customHeight="1" x14ac:dyDescent="0.2">
      <c r="A37" s="137">
        <v>26</v>
      </c>
      <c r="B37" s="143">
        <v>30200000</v>
      </c>
      <c r="C37" s="143" t="s">
        <v>166</v>
      </c>
      <c r="D37" s="177">
        <f>9000-4201</f>
        <v>4799</v>
      </c>
      <c r="E37" s="107" t="s">
        <v>10</v>
      </c>
      <c r="F37" s="108" t="s">
        <v>12</v>
      </c>
      <c r="G37" s="108" t="s">
        <v>24</v>
      </c>
      <c r="H37" s="109"/>
      <c r="I37" s="151" t="s">
        <v>229</v>
      </c>
    </row>
    <row r="38" spans="1:11" s="115" customFormat="1" ht="27" customHeight="1" x14ac:dyDescent="0.2">
      <c r="A38" s="137">
        <v>27</v>
      </c>
      <c r="B38" s="146"/>
      <c r="C38" s="146"/>
      <c r="D38" s="178">
        <v>5200</v>
      </c>
      <c r="E38" s="107" t="s">
        <v>10</v>
      </c>
      <c r="F38" s="108" t="s">
        <v>179</v>
      </c>
      <c r="G38" s="108" t="s">
        <v>180</v>
      </c>
      <c r="H38" s="109"/>
      <c r="I38" s="151" t="s">
        <v>229</v>
      </c>
    </row>
    <row r="39" spans="1:11" s="115" customFormat="1" ht="33.75" customHeight="1" x14ac:dyDescent="0.2">
      <c r="A39" s="137">
        <v>28</v>
      </c>
      <c r="B39" s="137">
        <v>31200000</v>
      </c>
      <c r="C39" s="137" t="s">
        <v>230</v>
      </c>
      <c r="D39" s="104">
        <v>3000</v>
      </c>
      <c r="E39" s="107" t="s">
        <v>10</v>
      </c>
      <c r="F39" s="108" t="s">
        <v>12</v>
      </c>
      <c r="G39" s="108" t="s">
        <v>24</v>
      </c>
      <c r="H39" s="109"/>
      <c r="I39" s="151" t="s">
        <v>231</v>
      </c>
    </row>
    <row r="40" spans="1:11" s="115" customFormat="1" ht="38.25" customHeight="1" x14ac:dyDescent="0.2">
      <c r="A40" s="137">
        <v>29</v>
      </c>
      <c r="B40" s="137">
        <v>31300000</v>
      </c>
      <c r="C40" s="137" t="s">
        <v>232</v>
      </c>
      <c r="D40" s="104">
        <f>3000+600</f>
        <v>3600</v>
      </c>
      <c r="E40" s="107" t="s">
        <v>10</v>
      </c>
      <c r="F40" s="108" t="s">
        <v>12</v>
      </c>
      <c r="G40" s="108" t="s">
        <v>24</v>
      </c>
      <c r="H40" s="109"/>
      <c r="I40" s="151" t="s">
        <v>233</v>
      </c>
    </row>
    <row r="41" spans="1:11" s="115" customFormat="1" ht="33.75" customHeight="1" x14ac:dyDescent="0.2">
      <c r="A41" s="137">
        <v>30</v>
      </c>
      <c r="B41" s="137">
        <v>31500000</v>
      </c>
      <c r="C41" s="137" t="s">
        <v>94</v>
      </c>
      <c r="D41" s="104">
        <v>9900</v>
      </c>
      <c r="E41" s="107" t="s">
        <v>10</v>
      </c>
      <c r="F41" s="108" t="s">
        <v>12</v>
      </c>
      <c r="G41" s="108" t="s">
        <v>24</v>
      </c>
      <c r="H41" s="111"/>
      <c r="I41" s="114" t="s">
        <v>95</v>
      </c>
    </row>
    <row r="42" spans="1:11" s="115" customFormat="1" ht="33.75" customHeight="1" x14ac:dyDescent="0.2">
      <c r="A42" s="137">
        <v>31</v>
      </c>
      <c r="B42" s="137">
        <v>31600000</v>
      </c>
      <c r="C42" s="137" t="s">
        <v>234</v>
      </c>
      <c r="D42" s="104">
        <v>100</v>
      </c>
      <c r="E42" s="107" t="s">
        <v>10</v>
      </c>
      <c r="F42" s="108" t="s">
        <v>179</v>
      </c>
      <c r="G42" s="108" t="s">
        <v>180</v>
      </c>
      <c r="H42" s="111"/>
      <c r="I42" s="114" t="s">
        <v>235</v>
      </c>
    </row>
    <row r="43" spans="1:11" s="115" customFormat="1" ht="36" customHeight="1" x14ac:dyDescent="0.2">
      <c r="A43" s="137">
        <v>32</v>
      </c>
      <c r="B43" s="137">
        <v>32200000</v>
      </c>
      <c r="C43" s="137" t="s">
        <v>58</v>
      </c>
      <c r="D43" s="104">
        <v>9000</v>
      </c>
      <c r="E43" s="107" t="s">
        <v>10</v>
      </c>
      <c r="F43" s="108" t="s">
        <v>12</v>
      </c>
      <c r="G43" s="108" t="s">
        <v>24</v>
      </c>
      <c r="H43" s="111"/>
      <c r="I43" s="114" t="s">
        <v>236</v>
      </c>
    </row>
    <row r="44" spans="1:11" s="115" customFormat="1" ht="33.75" customHeight="1" x14ac:dyDescent="0.2">
      <c r="A44" s="137">
        <v>33</v>
      </c>
      <c r="B44" s="156">
        <v>32400000</v>
      </c>
      <c r="C44" s="156" t="s">
        <v>43</v>
      </c>
      <c r="D44" s="110">
        <v>18000</v>
      </c>
      <c r="E44" s="107" t="s">
        <v>25</v>
      </c>
      <c r="F44" s="108" t="s">
        <v>12</v>
      </c>
      <c r="G44" s="108" t="s">
        <v>24</v>
      </c>
      <c r="H44" s="109"/>
      <c r="I44" s="152" t="s">
        <v>79</v>
      </c>
      <c r="J44" s="152"/>
      <c r="K44" s="148"/>
    </row>
    <row r="45" spans="1:11" s="115" customFormat="1" ht="33.75" customHeight="1" x14ac:dyDescent="0.2">
      <c r="A45" s="137">
        <v>34</v>
      </c>
      <c r="B45" s="137">
        <v>33100000</v>
      </c>
      <c r="C45" s="137" t="s">
        <v>237</v>
      </c>
      <c r="D45" s="104">
        <f>9600+2100</f>
        <v>11700</v>
      </c>
      <c r="E45" s="107" t="s">
        <v>10</v>
      </c>
      <c r="F45" s="108" t="s">
        <v>12</v>
      </c>
      <c r="G45" s="108" t="s">
        <v>24</v>
      </c>
      <c r="H45" s="111"/>
      <c r="I45" s="157" t="s">
        <v>238</v>
      </c>
    </row>
    <row r="46" spans="1:11" s="115" customFormat="1" ht="37.5" customHeight="1" x14ac:dyDescent="0.2">
      <c r="A46" s="137">
        <v>35</v>
      </c>
      <c r="B46" s="137">
        <v>34100000</v>
      </c>
      <c r="C46" s="137" t="s">
        <v>239</v>
      </c>
      <c r="D46" s="110">
        <f>4992600-1870000</f>
        <v>3122600</v>
      </c>
      <c r="E46" s="107" t="s">
        <v>25</v>
      </c>
      <c r="F46" s="108" t="s">
        <v>12</v>
      </c>
      <c r="G46" s="108" t="s">
        <v>24</v>
      </c>
      <c r="H46" s="109"/>
      <c r="I46" s="152" t="s">
        <v>240</v>
      </c>
      <c r="J46" s="148"/>
    </row>
    <row r="47" spans="1:11" s="115" customFormat="1" ht="33" customHeight="1" x14ac:dyDescent="0.2">
      <c r="A47" s="137">
        <v>36</v>
      </c>
      <c r="B47" s="156">
        <v>34300000</v>
      </c>
      <c r="C47" s="156" t="s">
        <v>36</v>
      </c>
      <c r="D47" s="104">
        <f>430000+8700</f>
        <v>438700</v>
      </c>
      <c r="E47" s="107" t="s">
        <v>14</v>
      </c>
      <c r="F47" s="108" t="s">
        <v>12</v>
      </c>
      <c r="G47" s="108" t="s">
        <v>24</v>
      </c>
      <c r="H47" s="109" t="s">
        <v>13</v>
      </c>
      <c r="I47" s="141" t="s">
        <v>241</v>
      </c>
    </row>
    <row r="48" spans="1:11" s="115" customFormat="1" ht="30.75" customHeight="1" x14ac:dyDescent="0.2">
      <c r="A48" s="137">
        <v>37</v>
      </c>
      <c r="B48" s="137">
        <v>34400000</v>
      </c>
      <c r="C48" s="137" t="s">
        <v>242</v>
      </c>
      <c r="D48" s="104">
        <v>4000</v>
      </c>
      <c r="E48" s="107" t="s">
        <v>10</v>
      </c>
      <c r="F48" s="108" t="s">
        <v>12</v>
      </c>
      <c r="G48" s="108" t="s">
        <v>24</v>
      </c>
      <c r="H48" s="109"/>
      <c r="I48" s="151" t="s">
        <v>243</v>
      </c>
    </row>
    <row r="49" spans="1:11" s="115" customFormat="1" ht="35.25" customHeight="1" x14ac:dyDescent="0.2">
      <c r="A49" s="137">
        <v>38</v>
      </c>
      <c r="B49" s="137">
        <v>34900000</v>
      </c>
      <c r="C49" s="137" t="s">
        <v>244</v>
      </c>
      <c r="D49" s="104">
        <v>3000</v>
      </c>
      <c r="E49" s="107" t="s">
        <v>10</v>
      </c>
      <c r="F49" s="108" t="s">
        <v>12</v>
      </c>
      <c r="G49" s="108" t="s">
        <v>24</v>
      </c>
      <c r="H49" s="109"/>
      <c r="I49" s="141" t="s">
        <v>245</v>
      </c>
      <c r="J49" s="148"/>
    </row>
    <row r="50" spans="1:11" s="115" customFormat="1" ht="33" customHeight="1" x14ac:dyDescent="0.2">
      <c r="A50" s="137">
        <v>39</v>
      </c>
      <c r="B50" s="137">
        <v>35100000</v>
      </c>
      <c r="C50" s="137" t="s">
        <v>68</v>
      </c>
      <c r="D50" s="104">
        <f>10000-100</f>
        <v>9900</v>
      </c>
      <c r="E50" s="107" t="s">
        <v>10</v>
      </c>
      <c r="F50" s="108" t="s">
        <v>12</v>
      </c>
      <c r="G50" s="108" t="s">
        <v>24</v>
      </c>
      <c r="H50" s="107"/>
      <c r="I50" s="147" t="s">
        <v>246</v>
      </c>
      <c r="J50" s="147"/>
    </row>
    <row r="51" spans="1:11" s="115" customFormat="1" ht="31.5" customHeight="1" x14ac:dyDescent="0.2">
      <c r="A51" s="137">
        <v>40</v>
      </c>
      <c r="B51" s="137">
        <v>35300000</v>
      </c>
      <c r="C51" s="137" t="s">
        <v>66</v>
      </c>
      <c r="D51" s="104">
        <v>9000</v>
      </c>
      <c r="E51" s="107" t="s">
        <v>10</v>
      </c>
      <c r="F51" s="108" t="s">
        <v>12</v>
      </c>
      <c r="G51" s="108" t="s">
        <v>24</v>
      </c>
      <c r="H51" s="111"/>
      <c r="I51" s="114" t="s">
        <v>247</v>
      </c>
    </row>
    <row r="52" spans="1:11" s="115" customFormat="1" ht="37.5" customHeight="1" x14ac:dyDescent="0.2">
      <c r="A52" s="137">
        <v>41</v>
      </c>
      <c r="B52" s="137">
        <v>35800000</v>
      </c>
      <c r="C52" s="137" t="s">
        <v>248</v>
      </c>
      <c r="D52" s="104">
        <v>9900</v>
      </c>
      <c r="E52" s="107" t="s">
        <v>10</v>
      </c>
      <c r="F52" s="108" t="s">
        <v>12</v>
      </c>
      <c r="G52" s="108" t="s">
        <v>24</v>
      </c>
      <c r="H52" s="107"/>
      <c r="I52" s="114" t="s">
        <v>249</v>
      </c>
    </row>
    <row r="53" spans="1:11" s="115" customFormat="1" ht="36" customHeight="1" x14ac:dyDescent="0.2">
      <c r="A53" s="137">
        <v>42</v>
      </c>
      <c r="B53" s="143">
        <v>38100000</v>
      </c>
      <c r="C53" s="143" t="s">
        <v>167</v>
      </c>
      <c r="D53" s="104">
        <v>50000</v>
      </c>
      <c r="E53" s="107" t="s">
        <v>25</v>
      </c>
      <c r="F53" s="108" t="s">
        <v>12</v>
      </c>
      <c r="G53" s="108" t="s">
        <v>24</v>
      </c>
      <c r="H53" s="109"/>
      <c r="I53" s="151" t="s">
        <v>250</v>
      </c>
      <c r="J53" s="148"/>
    </row>
    <row r="54" spans="1:11" s="115" customFormat="1" ht="36" customHeight="1" x14ac:dyDescent="0.2">
      <c r="A54" s="137">
        <v>43</v>
      </c>
      <c r="B54" s="146"/>
      <c r="C54" s="146"/>
      <c r="D54" s="110">
        <v>28400</v>
      </c>
      <c r="E54" s="107" t="s">
        <v>25</v>
      </c>
      <c r="F54" s="108" t="s">
        <v>161</v>
      </c>
      <c r="G54" s="108" t="s">
        <v>162</v>
      </c>
      <c r="H54" s="109"/>
      <c r="I54" s="151" t="s">
        <v>210</v>
      </c>
      <c r="J54" s="148"/>
    </row>
    <row r="55" spans="1:11" s="115" customFormat="1" ht="33.75" customHeight="1" x14ac:dyDescent="0.2">
      <c r="A55" s="137">
        <v>44</v>
      </c>
      <c r="B55" s="137">
        <v>38300000</v>
      </c>
      <c r="C55" s="137" t="s">
        <v>251</v>
      </c>
      <c r="D55" s="104">
        <v>200</v>
      </c>
      <c r="E55" s="107" t="s">
        <v>10</v>
      </c>
      <c r="F55" s="108" t="s">
        <v>161</v>
      </c>
      <c r="G55" s="108" t="s">
        <v>162</v>
      </c>
      <c r="H55" s="179"/>
      <c r="I55" s="150" t="s">
        <v>219</v>
      </c>
    </row>
    <row r="56" spans="1:11" s="115" customFormat="1" ht="33.75" customHeight="1" x14ac:dyDescent="0.2">
      <c r="A56" s="137">
        <v>45</v>
      </c>
      <c r="B56" s="137">
        <v>38600000</v>
      </c>
      <c r="C56" s="137" t="s">
        <v>151</v>
      </c>
      <c r="D56" s="104">
        <v>500</v>
      </c>
      <c r="E56" s="107" t="s">
        <v>10</v>
      </c>
      <c r="F56" s="108" t="s">
        <v>161</v>
      </c>
      <c r="G56" s="108" t="s">
        <v>162</v>
      </c>
      <c r="H56" s="179"/>
      <c r="I56" s="150" t="s">
        <v>219</v>
      </c>
    </row>
    <row r="57" spans="1:11" s="115" customFormat="1" ht="33.75" customHeight="1" x14ac:dyDescent="0.2">
      <c r="A57" s="137">
        <v>46</v>
      </c>
      <c r="B57" s="143">
        <v>39100000</v>
      </c>
      <c r="C57" s="143" t="s">
        <v>11</v>
      </c>
      <c r="D57" s="104">
        <f>9000-3700</f>
        <v>5300</v>
      </c>
      <c r="E57" s="107" t="s">
        <v>25</v>
      </c>
      <c r="F57" s="108" t="s">
        <v>12</v>
      </c>
      <c r="G57" s="108" t="s">
        <v>24</v>
      </c>
      <c r="H57" s="109"/>
      <c r="I57" s="114" t="s">
        <v>252</v>
      </c>
      <c r="K57" s="117"/>
    </row>
    <row r="58" spans="1:11" s="115" customFormat="1" ht="33.75" customHeight="1" x14ac:dyDescent="0.2">
      <c r="A58" s="137">
        <v>47</v>
      </c>
      <c r="B58" s="146"/>
      <c r="C58" s="146"/>
      <c r="D58" s="110">
        <v>50000</v>
      </c>
      <c r="E58" s="107" t="s">
        <v>25</v>
      </c>
      <c r="F58" s="108" t="s">
        <v>12</v>
      </c>
      <c r="G58" s="108" t="s">
        <v>24</v>
      </c>
      <c r="H58" s="109"/>
      <c r="I58" s="114" t="s">
        <v>252</v>
      </c>
      <c r="K58" s="117"/>
    </row>
    <row r="59" spans="1:11" s="115" customFormat="1" ht="31.5" customHeight="1" x14ac:dyDescent="0.2">
      <c r="A59" s="137">
        <v>48</v>
      </c>
      <c r="B59" s="156">
        <v>39200000</v>
      </c>
      <c r="C59" s="156" t="s">
        <v>51</v>
      </c>
      <c r="D59" s="104">
        <v>9900</v>
      </c>
      <c r="E59" s="107" t="s">
        <v>10</v>
      </c>
      <c r="F59" s="108" t="s">
        <v>12</v>
      </c>
      <c r="G59" s="108" t="s">
        <v>24</v>
      </c>
      <c r="H59" s="107"/>
      <c r="I59" s="141" t="s">
        <v>253</v>
      </c>
    </row>
    <row r="60" spans="1:11" s="115" customFormat="1" ht="37.5" customHeight="1" x14ac:dyDescent="0.2">
      <c r="A60" s="137">
        <v>49</v>
      </c>
      <c r="B60" s="137">
        <v>39500000</v>
      </c>
      <c r="C60" s="137" t="s">
        <v>254</v>
      </c>
      <c r="D60" s="104">
        <f>6000+3000</f>
        <v>9000</v>
      </c>
      <c r="E60" s="107" t="s">
        <v>10</v>
      </c>
      <c r="F60" s="108" t="s">
        <v>12</v>
      </c>
      <c r="G60" s="108" t="s">
        <v>24</v>
      </c>
      <c r="H60" s="107"/>
      <c r="I60" s="148" t="s">
        <v>255</v>
      </c>
    </row>
    <row r="61" spans="1:11" s="115" customFormat="1" ht="33.75" customHeight="1" x14ac:dyDescent="0.2">
      <c r="A61" s="137">
        <v>50</v>
      </c>
      <c r="B61" s="143">
        <v>39700000</v>
      </c>
      <c r="C61" s="143" t="s">
        <v>256</v>
      </c>
      <c r="D61" s="104">
        <f>5000+4000</f>
        <v>9000</v>
      </c>
      <c r="E61" s="107" t="s">
        <v>10</v>
      </c>
      <c r="F61" s="108" t="s">
        <v>12</v>
      </c>
      <c r="G61" s="108" t="s">
        <v>24</v>
      </c>
      <c r="H61" s="107"/>
      <c r="I61" s="148" t="s">
        <v>257</v>
      </c>
    </row>
    <row r="62" spans="1:11" s="115" customFormat="1" ht="33.75" customHeight="1" x14ac:dyDescent="0.2">
      <c r="A62" s="137">
        <v>51</v>
      </c>
      <c r="B62" s="146"/>
      <c r="C62" s="146"/>
      <c r="D62" s="110">
        <v>650</v>
      </c>
      <c r="E62" s="107" t="s">
        <v>10</v>
      </c>
      <c r="F62" s="108" t="s">
        <v>179</v>
      </c>
      <c r="G62" s="108" t="s">
        <v>180</v>
      </c>
      <c r="H62" s="107"/>
      <c r="I62" s="148" t="s">
        <v>257</v>
      </c>
    </row>
    <row r="63" spans="1:11" s="115" customFormat="1" ht="33.75" customHeight="1" x14ac:dyDescent="0.2">
      <c r="A63" s="137">
        <v>52</v>
      </c>
      <c r="B63" s="137">
        <v>39800000</v>
      </c>
      <c r="C63" s="137" t="s">
        <v>258</v>
      </c>
      <c r="D63" s="104">
        <v>1000</v>
      </c>
      <c r="E63" s="107" t="s">
        <v>10</v>
      </c>
      <c r="F63" s="108" t="s">
        <v>12</v>
      </c>
      <c r="G63" s="108" t="s">
        <v>24</v>
      </c>
      <c r="H63" s="111"/>
      <c r="I63" s="114" t="s">
        <v>259</v>
      </c>
    </row>
    <row r="64" spans="1:11" s="115" customFormat="1" ht="32.25" customHeight="1" x14ac:dyDescent="0.2">
      <c r="A64" s="137">
        <v>53</v>
      </c>
      <c r="B64" s="137">
        <v>41100000</v>
      </c>
      <c r="C64" s="137" t="s">
        <v>260</v>
      </c>
      <c r="D64" s="104">
        <v>2000</v>
      </c>
      <c r="E64" s="107" t="s">
        <v>10</v>
      </c>
      <c r="F64" s="108" t="s">
        <v>12</v>
      </c>
      <c r="G64" s="108" t="s">
        <v>24</v>
      </c>
      <c r="H64" s="109"/>
      <c r="I64" s="114" t="s">
        <v>261</v>
      </c>
      <c r="J64" s="148"/>
      <c r="K64" s="154"/>
    </row>
    <row r="65" spans="1:11" s="115" customFormat="1" ht="34.5" customHeight="1" x14ac:dyDescent="0.2">
      <c r="A65" s="137">
        <v>54</v>
      </c>
      <c r="B65" s="156">
        <v>42100000</v>
      </c>
      <c r="C65" s="156" t="s">
        <v>144</v>
      </c>
      <c r="D65" s="104">
        <v>1000</v>
      </c>
      <c r="E65" s="107" t="s">
        <v>10</v>
      </c>
      <c r="F65" s="108" t="s">
        <v>12</v>
      </c>
      <c r="G65" s="108" t="s">
        <v>24</v>
      </c>
      <c r="H65" s="109"/>
      <c r="I65" s="148" t="s">
        <v>262</v>
      </c>
    </row>
    <row r="66" spans="1:11" s="115" customFormat="1" ht="35.25" customHeight="1" x14ac:dyDescent="0.2">
      <c r="A66" s="137">
        <v>55</v>
      </c>
      <c r="B66" s="137">
        <v>42400000</v>
      </c>
      <c r="C66" s="137" t="s">
        <v>263</v>
      </c>
      <c r="D66" s="104">
        <v>3000</v>
      </c>
      <c r="E66" s="107" t="s">
        <v>10</v>
      </c>
      <c r="F66" s="108" t="s">
        <v>12</v>
      </c>
      <c r="G66" s="108" t="s">
        <v>24</v>
      </c>
      <c r="H66" s="109"/>
      <c r="I66" s="151" t="s">
        <v>264</v>
      </c>
    </row>
    <row r="67" spans="1:11" s="115" customFormat="1" ht="33.75" customHeight="1" x14ac:dyDescent="0.2">
      <c r="A67" s="137">
        <v>56</v>
      </c>
      <c r="B67" s="137">
        <v>42500000</v>
      </c>
      <c r="C67" s="137" t="s">
        <v>172</v>
      </c>
      <c r="D67" s="110">
        <v>9200</v>
      </c>
      <c r="E67" s="107" t="s">
        <v>10</v>
      </c>
      <c r="F67" s="108" t="s">
        <v>161</v>
      </c>
      <c r="G67" s="108" t="s">
        <v>162</v>
      </c>
      <c r="H67" s="109"/>
      <c r="I67" s="151" t="s">
        <v>265</v>
      </c>
      <c r="J67" s="148"/>
    </row>
    <row r="68" spans="1:11" s="115" customFormat="1" ht="34.5" customHeight="1" x14ac:dyDescent="0.2">
      <c r="A68" s="137">
        <v>57</v>
      </c>
      <c r="B68" s="137">
        <v>42600000</v>
      </c>
      <c r="C68" s="137" t="s">
        <v>266</v>
      </c>
      <c r="D68" s="104">
        <v>9999</v>
      </c>
      <c r="E68" s="107" t="s">
        <v>10</v>
      </c>
      <c r="F68" s="108" t="s">
        <v>12</v>
      </c>
      <c r="G68" s="108" t="s">
        <v>24</v>
      </c>
      <c r="H68" s="109"/>
      <c r="I68" s="141" t="s">
        <v>267</v>
      </c>
      <c r="J68" s="154"/>
    </row>
    <row r="69" spans="1:11" s="115" customFormat="1" ht="32.25" customHeight="1" x14ac:dyDescent="0.2">
      <c r="A69" s="137">
        <v>58</v>
      </c>
      <c r="B69" s="143">
        <v>42900000</v>
      </c>
      <c r="C69" s="143" t="s">
        <v>50</v>
      </c>
      <c r="D69" s="104">
        <v>20000</v>
      </c>
      <c r="E69" s="107" t="s">
        <v>14</v>
      </c>
      <c r="F69" s="108" t="s">
        <v>12</v>
      </c>
      <c r="G69" s="108" t="s">
        <v>24</v>
      </c>
      <c r="H69" s="109" t="s">
        <v>13</v>
      </c>
      <c r="I69" s="148" t="s">
        <v>268</v>
      </c>
      <c r="J69" s="148"/>
    </row>
    <row r="70" spans="1:11" s="115" customFormat="1" ht="32.25" customHeight="1" x14ac:dyDescent="0.2">
      <c r="A70" s="137">
        <v>59</v>
      </c>
      <c r="B70" s="146"/>
      <c r="C70" s="146"/>
      <c r="D70" s="104">
        <f>1000+396</f>
        <v>1396</v>
      </c>
      <c r="E70" s="107" t="s">
        <v>10</v>
      </c>
      <c r="F70" s="108" t="s">
        <v>12</v>
      </c>
      <c r="G70" s="108" t="s">
        <v>24</v>
      </c>
      <c r="H70" s="109"/>
      <c r="I70" s="148" t="s">
        <v>269</v>
      </c>
      <c r="J70" s="148"/>
    </row>
    <row r="71" spans="1:11" s="115" customFormat="1" ht="37.5" customHeight="1" x14ac:dyDescent="0.2">
      <c r="A71" s="137">
        <v>60</v>
      </c>
      <c r="B71" s="137">
        <v>43200000</v>
      </c>
      <c r="C71" s="137" t="s">
        <v>270</v>
      </c>
      <c r="D71" s="110">
        <v>1870000</v>
      </c>
      <c r="E71" s="107" t="s">
        <v>25</v>
      </c>
      <c r="F71" s="108" t="s">
        <v>179</v>
      </c>
      <c r="G71" s="108" t="s">
        <v>180</v>
      </c>
      <c r="H71" s="109"/>
      <c r="I71" s="152" t="s">
        <v>271</v>
      </c>
      <c r="J71" s="148"/>
    </row>
    <row r="72" spans="1:11" s="115" customFormat="1" ht="33" customHeight="1" x14ac:dyDescent="0.2">
      <c r="A72" s="137">
        <v>61</v>
      </c>
      <c r="B72" s="137">
        <v>44100000</v>
      </c>
      <c r="C72" s="137" t="s">
        <v>124</v>
      </c>
      <c r="D72" s="104">
        <f>1000+8000</f>
        <v>9000</v>
      </c>
      <c r="E72" s="107" t="s">
        <v>10</v>
      </c>
      <c r="F72" s="108" t="s">
        <v>12</v>
      </c>
      <c r="G72" s="108" t="s">
        <v>24</v>
      </c>
      <c r="H72" s="109"/>
      <c r="I72" s="144" t="s">
        <v>272</v>
      </c>
    </row>
    <row r="73" spans="1:11" s="115" customFormat="1" ht="35.25" customHeight="1" x14ac:dyDescent="0.2">
      <c r="A73" s="137">
        <v>62</v>
      </c>
      <c r="B73" s="137">
        <v>44200000</v>
      </c>
      <c r="C73" s="137" t="s">
        <v>140</v>
      </c>
      <c r="D73" s="110">
        <v>5400</v>
      </c>
      <c r="E73" s="107" t="s">
        <v>10</v>
      </c>
      <c r="F73" s="108" t="s">
        <v>12</v>
      </c>
      <c r="G73" s="108" t="s">
        <v>24</v>
      </c>
      <c r="H73" s="109"/>
      <c r="I73" s="152" t="s">
        <v>273</v>
      </c>
    </row>
    <row r="74" spans="1:11" s="115" customFormat="1" ht="33" customHeight="1" x14ac:dyDescent="0.2">
      <c r="A74" s="137">
        <v>63</v>
      </c>
      <c r="B74" s="137">
        <v>44300000</v>
      </c>
      <c r="C74" s="137" t="s">
        <v>274</v>
      </c>
      <c r="D74" s="104">
        <v>2000</v>
      </c>
      <c r="E74" s="107" t="s">
        <v>10</v>
      </c>
      <c r="F74" s="108" t="s">
        <v>179</v>
      </c>
      <c r="G74" s="108" t="s">
        <v>180</v>
      </c>
      <c r="H74" s="107"/>
      <c r="I74" s="147" t="s">
        <v>275</v>
      </c>
      <c r="J74" s="147"/>
    </row>
    <row r="75" spans="1:11" s="115" customFormat="1" ht="31.5" customHeight="1" x14ac:dyDescent="0.2">
      <c r="A75" s="137">
        <v>64</v>
      </c>
      <c r="B75" s="156">
        <v>44400000</v>
      </c>
      <c r="C75" s="156" t="s">
        <v>42</v>
      </c>
      <c r="D75" s="104">
        <f>210000+56650</f>
        <v>266650</v>
      </c>
      <c r="E75" s="107" t="s">
        <v>25</v>
      </c>
      <c r="F75" s="108" t="s">
        <v>12</v>
      </c>
      <c r="G75" s="108" t="s">
        <v>24</v>
      </c>
      <c r="H75" s="109"/>
      <c r="I75" s="158" t="s">
        <v>276</v>
      </c>
    </row>
    <row r="76" spans="1:11" s="149" customFormat="1" ht="36.75" customHeight="1" x14ac:dyDescent="0.2">
      <c r="A76" s="137">
        <v>65</v>
      </c>
      <c r="B76" s="159">
        <v>44500000</v>
      </c>
      <c r="C76" s="137" t="s">
        <v>183</v>
      </c>
      <c r="D76" s="104">
        <f>9000+500</f>
        <v>9500</v>
      </c>
      <c r="E76" s="107" t="s">
        <v>10</v>
      </c>
      <c r="F76" s="108" t="s">
        <v>12</v>
      </c>
      <c r="G76" s="108" t="s">
        <v>24</v>
      </c>
      <c r="H76" s="107"/>
      <c r="I76" s="148" t="s">
        <v>277</v>
      </c>
    </row>
    <row r="77" spans="1:11" s="115" customFormat="1" ht="35.25" customHeight="1" x14ac:dyDescent="0.2">
      <c r="A77" s="137">
        <v>66</v>
      </c>
      <c r="B77" s="107">
        <v>44600000</v>
      </c>
      <c r="C77" s="107" t="s">
        <v>278</v>
      </c>
      <c r="D77" s="110">
        <v>97800</v>
      </c>
      <c r="E77" s="107" t="s">
        <v>25</v>
      </c>
      <c r="F77" s="108" t="s">
        <v>179</v>
      </c>
      <c r="G77" s="108" t="s">
        <v>180</v>
      </c>
      <c r="H77" s="109"/>
      <c r="I77" s="152" t="s">
        <v>273</v>
      </c>
    </row>
    <row r="78" spans="1:11" s="115" customFormat="1" ht="33" customHeight="1" x14ac:dyDescent="0.2">
      <c r="A78" s="137">
        <v>67</v>
      </c>
      <c r="B78" s="107">
        <v>44800000</v>
      </c>
      <c r="C78" s="107" t="s">
        <v>138</v>
      </c>
      <c r="D78" s="104">
        <v>201</v>
      </c>
      <c r="E78" s="107" t="s">
        <v>10</v>
      </c>
      <c r="F78" s="108" t="s">
        <v>12</v>
      </c>
      <c r="G78" s="108" t="s">
        <v>24</v>
      </c>
      <c r="H78" s="109"/>
      <c r="I78" s="141" t="s">
        <v>279</v>
      </c>
    </row>
    <row r="79" spans="1:11" s="115" customFormat="1" ht="39.75" customHeight="1" x14ac:dyDescent="0.2">
      <c r="A79" s="137">
        <v>68</v>
      </c>
      <c r="B79" s="137">
        <v>45200000</v>
      </c>
      <c r="C79" s="137" t="s">
        <v>64</v>
      </c>
      <c r="D79" s="110">
        <f>494950-5850</f>
        <v>489100</v>
      </c>
      <c r="E79" s="107" t="s">
        <v>25</v>
      </c>
      <c r="F79" s="108" t="s">
        <v>12</v>
      </c>
      <c r="G79" s="108" t="s">
        <v>24</v>
      </c>
      <c r="H79" s="109"/>
      <c r="I79" s="150" t="s">
        <v>280</v>
      </c>
      <c r="J79" s="150"/>
      <c r="K79" s="148"/>
    </row>
    <row r="80" spans="1:11" s="115" customFormat="1" ht="33.75" customHeight="1" x14ac:dyDescent="0.2">
      <c r="A80" s="137">
        <v>69</v>
      </c>
      <c r="B80" s="143">
        <v>45300000</v>
      </c>
      <c r="C80" s="143" t="s">
        <v>72</v>
      </c>
      <c r="D80" s="110">
        <f>9900-700</f>
        <v>9200</v>
      </c>
      <c r="E80" s="107" t="s">
        <v>10</v>
      </c>
      <c r="F80" s="108" t="s">
        <v>161</v>
      </c>
      <c r="G80" s="108" t="s">
        <v>162</v>
      </c>
      <c r="H80" s="109"/>
      <c r="I80" s="150" t="s">
        <v>159</v>
      </c>
      <c r="J80" s="148"/>
      <c r="K80" s="148"/>
    </row>
    <row r="81" spans="1:11" s="115" customFormat="1" ht="33.75" customHeight="1" x14ac:dyDescent="0.2">
      <c r="A81" s="137">
        <v>70</v>
      </c>
      <c r="B81" s="146"/>
      <c r="C81" s="146"/>
      <c r="D81" s="104">
        <v>700</v>
      </c>
      <c r="E81" s="107" t="s">
        <v>10</v>
      </c>
      <c r="F81" s="108" t="s">
        <v>179</v>
      </c>
      <c r="G81" s="108" t="s">
        <v>180</v>
      </c>
      <c r="H81" s="109"/>
      <c r="I81" s="150" t="s">
        <v>159</v>
      </c>
      <c r="J81" s="148"/>
      <c r="K81" s="148"/>
    </row>
    <row r="82" spans="1:11" s="149" customFormat="1" ht="32.25" customHeight="1" x14ac:dyDescent="0.2">
      <c r="A82" s="137">
        <v>71</v>
      </c>
      <c r="B82" s="137">
        <v>45400000</v>
      </c>
      <c r="C82" s="137" t="s">
        <v>71</v>
      </c>
      <c r="D82" s="110">
        <f>788210-97100</f>
        <v>691110</v>
      </c>
      <c r="E82" s="107" t="s">
        <v>25</v>
      </c>
      <c r="F82" s="108" t="s">
        <v>12</v>
      </c>
      <c r="G82" s="108" t="s">
        <v>24</v>
      </c>
      <c r="H82" s="107"/>
      <c r="I82" s="160" t="s">
        <v>281</v>
      </c>
      <c r="J82" s="148"/>
    </row>
    <row r="83" spans="1:11" s="149" customFormat="1" ht="35.25" customHeight="1" x14ac:dyDescent="0.2">
      <c r="A83" s="137">
        <v>72</v>
      </c>
      <c r="B83" s="159">
        <v>48400000</v>
      </c>
      <c r="C83" s="137" t="s">
        <v>282</v>
      </c>
      <c r="D83" s="180">
        <v>25000</v>
      </c>
      <c r="E83" s="107" t="s">
        <v>10</v>
      </c>
      <c r="F83" s="108" t="s">
        <v>12</v>
      </c>
      <c r="G83" s="108" t="s">
        <v>24</v>
      </c>
      <c r="H83" s="109" t="s">
        <v>18</v>
      </c>
      <c r="I83" s="114" t="s">
        <v>283</v>
      </c>
    </row>
    <row r="84" spans="1:11" s="115" customFormat="1" ht="31.5" customHeight="1" x14ac:dyDescent="0.2">
      <c r="A84" s="137">
        <v>73</v>
      </c>
      <c r="B84" s="155">
        <v>50100000</v>
      </c>
      <c r="C84" s="155" t="s">
        <v>23</v>
      </c>
      <c r="D84" s="104">
        <v>40000</v>
      </c>
      <c r="E84" s="107" t="s">
        <v>14</v>
      </c>
      <c r="F84" s="108" t="s">
        <v>12</v>
      </c>
      <c r="G84" s="108" t="s">
        <v>24</v>
      </c>
      <c r="H84" s="109" t="s">
        <v>13</v>
      </c>
      <c r="I84" s="161" t="s">
        <v>143</v>
      </c>
      <c r="J84" s="119"/>
    </row>
    <row r="85" spans="1:11" s="115" customFormat="1" ht="31.5" customHeight="1" x14ac:dyDescent="0.2">
      <c r="A85" s="137">
        <v>74</v>
      </c>
      <c r="B85" s="155"/>
      <c r="C85" s="155"/>
      <c r="D85" s="104">
        <f>864000-400000</f>
        <v>464000</v>
      </c>
      <c r="E85" s="107" t="s">
        <v>25</v>
      </c>
      <c r="F85" s="108" t="s">
        <v>12</v>
      </c>
      <c r="G85" s="108" t="s">
        <v>24</v>
      </c>
      <c r="H85" s="109"/>
      <c r="I85" s="161" t="s">
        <v>284</v>
      </c>
      <c r="J85" s="119"/>
    </row>
    <row r="86" spans="1:11" s="115" customFormat="1" ht="31.5" customHeight="1" x14ac:dyDescent="0.2">
      <c r="A86" s="137">
        <v>75</v>
      </c>
      <c r="B86" s="155"/>
      <c r="C86" s="155"/>
      <c r="D86" s="104">
        <f>230000+286000</f>
        <v>516000</v>
      </c>
      <c r="E86" s="107" t="s">
        <v>10</v>
      </c>
      <c r="F86" s="108" t="s">
        <v>12</v>
      </c>
      <c r="G86" s="108" t="s">
        <v>24</v>
      </c>
      <c r="H86" s="109" t="s">
        <v>129</v>
      </c>
      <c r="I86" s="161" t="s">
        <v>285</v>
      </c>
      <c r="J86" s="119"/>
    </row>
    <row r="87" spans="1:11" s="115" customFormat="1" ht="49.5" customHeight="1" x14ac:dyDescent="0.2">
      <c r="A87" s="137">
        <v>76</v>
      </c>
      <c r="B87" s="137">
        <v>50500000</v>
      </c>
      <c r="C87" s="137" t="s">
        <v>148</v>
      </c>
      <c r="D87" s="104">
        <v>9900</v>
      </c>
      <c r="E87" s="107" t="s">
        <v>10</v>
      </c>
      <c r="F87" s="108" t="s">
        <v>12</v>
      </c>
      <c r="G87" s="108" t="s">
        <v>24</v>
      </c>
      <c r="H87" s="109"/>
      <c r="I87" s="114" t="s">
        <v>286</v>
      </c>
      <c r="J87" s="154"/>
    </row>
    <row r="88" spans="1:11" s="115" customFormat="1" ht="39" customHeight="1" x14ac:dyDescent="0.2">
      <c r="A88" s="137">
        <v>77</v>
      </c>
      <c r="B88" s="137">
        <v>50700000</v>
      </c>
      <c r="C88" s="137" t="s">
        <v>44</v>
      </c>
      <c r="D88" s="104">
        <v>1520</v>
      </c>
      <c r="E88" s="107" t="s">
        <v>10</v>
      </c>
      <c r="F88" s="108" t="s">
        <v>161</v>
      </c>
      <c r="G88" s="108" t="s">
        <v>162</v>
      </c>
      <c r="H88" s="109"/>
      <c r="I88" s="148" t="s">
        <v>126</v>
      </c>
      <c r="J88" s="148"/>
      <c r="K88" s="154"/>
    </row>
    <row r="89" spans="1:11" s="114" customFormat="1" ht="39" customHeight="1" x14ac:dyDescent="0.2">
      <c r="A89" s="137">
        <v>78</v>
      </c>
      <c r="B89" s="143">
        <v>55300000</v>
      </c>
      <c r="C89" s="143" t="s">
        <v>97</v>
      </c>
      <c r="D89" s="104">
        <f>15300+9000</f>
        <v>24300</v>
      </c>
      <c r="E89" s="107" t="s">
        <v>10</v>
      </c>
      <c r="F89" s="108" t="s">
        <v>12</v>
      </c>
      <c r="G89" s="108" t="s">
        <v>24</v>
      </c>
      <c r="H89" s="109" t="s">
        <v>59</v>
      </c>
      <c r="I89" s="114" t="s">
        <v>98</v>
      </c>
    </row>
    <row r="90" spans="1:11" s="114" customFormat="1" ht="39" customHeight="1" x14ac:dyDescent="0.2">
      <c r="A90" s="137">
        <v>79</v>
      </c>
      <c r="B90" s="146"/>
      <c r="C90" s="146"/>
      <c r="D90" s="104">
        <v>9900</v>
      </c>
      <c r="E90" s="107" t="s">
        <v>10</v>
      </c>
      <c r="F90" s="108" t="s">
        <v>12</v>
      </c>
      <c r="G90" s="108" t="s">
        <v>24</v>
      </c>
      <c r="H90" s="109"/>
      <c r="I90" s="114" t="s">
        <v>98</v>
      </c>
    </row>
    <row r="91" spans="1:11" s="115" customFormat="1" ht="33.75" customHeight="1" x14ac:dyDescent="0.2">
      <c r="A91" s="137">
        <v>80</v>
      </c>
      <c r="B91" s="137">
        <v>63100000</v>
      </c>
      <c r="C91" s="137" t="s">
        <v>45</v>
      </c>
      <c r="D91" s="104">
        <f>6000+3990</f>
        <v>9990</v>
      </c>
      <c r="E91" s="107" t="s">
        <v>10</v>
      </c>
      <c r="F91" s="108" t="s">
        <v>12</v>
      </c>
      <c r="G91" s="108" t="s">
        <v>24</v>
      </c>
      <c r="H91" s="109"/>
      <c r="I91" s="162" t="s">
        <v>287</v>
      </c>
      <c r="J91" s="154"/>
    </row>
    <row r="92" spans="1:11" s="114" customFormat="1" ht="39" customHeight="1" x14ac:dyDescent="0.2">
      <c r="A92" s="137">
        <v>81</v>
      </c>
      <c r="B92" s="143">
        <v>63700000</v>
      </c>
      <c r="C92" s="143" t="s">
        <v>19</v>
      </c>
      <c r="D92" s="104">
        <v>10000</v>
      </c>
      <c r="E92" s="107" t="s">
        <v>10</v>
      </c>
      <c r="F92" s="108" t="s">
        <v>12</v>
      </c>
      <c r="G92" s="108" t="s">
        <v>24</v>
      </c>
      <c r="H92" s="109" t="s">
        <v>17</v>
      </c>
      <c r="I92" s="114" t="s">
        <v>288</v>
      </c>
    </row>
    <row r="93" spans="1:11" s="114" customFormat="1" ht="39" customHeight="1" x14ac:dyDescent="0.2">
      <c r="A93" s="137">
        <v>82</v>
      </c>
      <c r="B93" s="146"/>
      <c r="C93" s="146"/>
      <c r="D93" s="104">
        <v>30000</v>
      </c>
      <c r="E93" s="107" t="s">
        <v>25</v>
      </c>
      <c r="F93" s="108" t="s">
        <v>12</v>
      </c>
      <c r="G93" s="108" t="s">
        <v>24</v>
      </c>
      <c r="H93" s="109"/>
      <c r="I93" s="114" t="s">
        <v>289</v>
      </c>
    </row>
    <row r="94" spans="1:11" s="115" customFormat="1" ht="35.25" customHeight="1" x14ac:dyDescent="0.2">
      <c r="A94" s="137">
        <v>83</v>
      </c>
      <c r="B94" s="137">
        <v>65100000</v>
      </c>
      <c r="C94" s="137" t="s">
        <v>290</v>
      </c>
      <c r="D94" s="104">
        <v>864</v>
      </c>
      <c r="E94" s="107" t="s">
        <v>10</v>
      </c>
      <c r="F94" s="108" t="s">
        <v>161</v>
      </c>
      <c r="G94" s="108" t="s">
        <v>162</v>
      </c>
      <c r="H94" s="109"/>
      <c r="I94" s="114" t="s">
        <v>204</v>
      </c>
    </row>
    <row r="95" spans="1:11" s="115" customFormat="1" ht="32.25" customHeight="1" x14ac:dyDescent="0.2">
      <c r="A95" s="137">
        <v>84</v>
      </c>
      <c r="B95" s="156">
        <v>65200000</v>
      </c>
      <c r="C95" s="156" t="s">
        <v>291</v>
      </c>
      <c r="D95" s="110">
        <v>1250</v>
      </c>
      <c r="E95" s="107" t="s">
        <v>10</v>
      </c>
      <c r="F95" s="108" t="s">
        <v>12</v>
      </c>
      <c r="G95" s="108" t="s">
        <v>24</v>
      </c>
      <c r="H95" s="109"/>
      <c r="I95" s="151" t="s">
        <v>292</v>
      </c>
    </row>
    <row r="96" spans="1:11" s="115" customFormat="1" ht="35.25" customHeight="1" x14ac:dyDescent="0.2">
      <c r="A96" s="137">
        <v>85</v>
      </c>
      <c r="B96" s="143">
        <v>66500000</v>
      </c>
      <c r="C96" s="143" t="s">
        <v>33</v>
      </c>
      <c r="D96" s="181">
        <f>155000+100000</f>
        <v>255000</v>
      </c>
      <c r="E96" s="107" t="s">
        <v>14</v>
      </c>
      <c r="F96" s="108" t="s">
        <v>12</v>
      </c>
      <c r="G96" s="108" t="s">
        <v>24</v>
      </c>
      <c r="H96" s="109" t="s">
        <v>13</v>
      </c>
      <c r="I96" s="152" t="s">
        <v>293</v>
      </c>
      <c r="J96" s="152"/>
      <c r="K96" s="154"/>
    </row>
    <row r="97" spans="1:13" s="115" customFormat="1" ht="35.25" customHeight="1" x14ac:dyDescent="0.2">
      <c r="A97" s="137">
        <v>86</v>
      </c>
      <c r="B97" s="146"/>
      <c r="C97" s="146"/>
      <c r="D97" s="181">
        <v>130140</v>
      </c>
      <c r="E97" s="107" t="s">
        <v>25</v>
      </c>
      <c r="F97" s="108" t="s">
        <v>12</v>
      </c>
      <c r="G97" s="108" t="s">
        <v>24</v>
      </c>
      <c r="H97" s="109"/>
      <c r="I97" s="152" t="s">
        <v>293</v>
      </c>
      <c r="J97" s="152"/>
      <c r="K97" s="154"/>
    </row>
    <row r="98" spans="1:13" s="115" customFormat="1" ht="35.25" customHeight="1" x14ac:dyDescent="0.2">
      <c r="A98" s="137">
        <v>87</v>
      </c>
      <c r="B98" s="137">
        <v>71600000</v>
      </c>
      <c r="C98" s="137" t="s">
        <v>294</v>
      </c>
      <c r="D98" s="104">
        <v>15000</v>
      </c>
      <c r="E98" s="107" t="s">
        <v>10</v>
      </c>
      <c r="F98" s="108" t="s">
        <v>12</v>
      </c>
      <c r="G98" s="108" t="s">
        <v>24</v>
      </c>
      <c r="H98" s="109" t="s">
        <v>17</v>
      </c>
      <c r="I98" s="144" t="s">
        <v>295</v>
      </c>
    </row>
    <row r="99" spans="1:13" s="115" customFormat="1" ht="38.25" customHeight="1" x14ac:dyDescent="0.2">
      <c r="A99" s="137">
        <v>88</v>
      </c>
      <c r="B99" s="182">
        <v>72200000</v>
      </c>
      <c r="C99" s="182" t="s">
        <v>55</v>
      </c>
      <c r="D99" s="104">
        <v>9900</v>
      </c>
      <c r="E99" s="107" t="s">
        <v>10</v>
      </c>
      <c r="F99" s="108" t="s">
        <v>179</v>
      </c>
      <c r="G99" s="108" t="s">
        <v>180</v>
      </c>
      <c r="H99" s="109"/>
      <c r="I99" s="73" t="s">
        <v>296</v>
      </c>
      <c r="J99" s="148"/>
      <c r="K99" s="148"/>
    </row>
    <row r="100" spans="1:13" s="115" customFormat="1" ht="39" customHeight="1" x14ac:dyDescent="0.2">
      <c r="A100" s="137">
        <v>89</v>
      </c>
      <c r="B100" s="143">
        <v>72400000</v>
      </c>
      <c r="C100" s="143" t="s">
        <v>30</v>
      </c>
      <c r="D100" s="104">
        <v>200</v>
      </c>
      <c r="E100" s="107" t="s">
        <v>32</v>
      </c>
      <c r="F100" s="108" t="s">
        <v>12</v>
      </c>
      <c r="G100" s="108" t="s">
        <v>24</v>
      </c>
      <c r="H100" s="109"/>
      <c r="I100" s="114" t="s">
        <v>297</v>
      </c>
      <c r="J100" s="148"/>
    </row>
    <row r="101" spans="1:13" s="115" customFormat="1" ht="31.5" customHeight="1" x14ac:dyDescent="0.2">
      <c r="A101" s="137">
        <v>90</v>
      </c>
      <c r="B101" s="146"/>
      <c r="C101" s="146"/>
      <c r="D101" s="104">
        <f>24100-1000</f>
        <v>23100</v>
      </c>
      <c r="E101" s="107" t="s">
        <v>32</v>
      </c>
      <c r="F101" s="108" t="s">
        <v>12</v>
      </c>
      <c r="G101" s="108" t="s">
        <v>24</v>
      </c>
      <c r="H101" s="109" t="s">
        <v>16</v>
      </c>
      <c r="I101" s="148" t="s">
        <v>91</v>
      </c>
      <c r="J101" s="148"/>
      <c r="K101" s="148"/>
    </row>
    <row r="102" spans="1:13" s="115" customFormat="1" ht="35.25" customHeight="1" x14ac:dyDescent="0.2">
      <c r="A102" s="137">
        <v>91</v>
      </c>
      <c r="B102" s="137">
        <v>76400000</v>
      </c>
      <c r="C102" s="137" t="s">
        <v>298</v>
      </c>
      <c r="D102" s="110">
        <v>9990</v>
      </c>
      <c r="E102" s="107" t="s">
        <v>10</v>
      </c>
      <c r="F102" s="108" t="s">
        <v>12</v>
      </c>
      <c r="G102" s="108" t="s">
        <v>24</v>
      </c>
      <c r="H102" s="109"/>
      <c r="I102" s="152" t="s">
        <v>299</v>
      </c>
    </row>
    <row r="103" spans="1:13" s="115" customFormat="1" ht="51" customHeight="1" x14ac:dyDescent="0.2">
      <c r="A103" s="137">
        <v>92</v>
      </c>
      <c r="B103" s="137">
        <v>77200000</v>
      </c>
      <c r="C103" s="137" t="s">
        <v>27</v>
      </c>
      <c r="D103" s="104">
        <f>12194600+476660</f>
        <v>12671260</v>
      </c>
      <c r="E103" s="107" t="s">
        <v>25</v>
      </c>
      <c r="F103" s="108" t="s">
        <v>12</v>
      </c>
      <c r="G103" s="108" t="s">
        <v>24</v>
      </c>
      <c r="H103" s="109"/>
      <c r="I103" s="162" t="s">
        <v>300</v>
      </c>
    </row>
    <row r="104" spans="1:13" s="115" customFormat="1" ht="33.75" customHeight="1" x14ac:dyDescent="0.2">
      <c r="A104" s="137">
        <v>93</v>
      </c>
      <c r="B104" s="137">
        <v>77300000</v>
      </c>
      <c r="C104" s="137" t="s">
        <v>301</v>
      </c>
      <c r="D104" s="104">
        <f>4529000-550000</f>
        <v>3979000</v>
      </c>
      <c r="E104" s="107" t="s">
        <v>25</v>
      </c>
      <c r="F104" s="108" t="s">
        <v>12</v>
      </c>
      <c r="G104" s="108" t="s">
        <v>24</v>
      </c>
      <c r="H104" s="109"/>
      <c r="I104" s="141" t="s">
        <v>302</v>
      </c>
      <c r="J104" s="154"/>
    </row>
    <row r="105" spans="1:13" s="115" customFormat="1" ht="33" customHeight="1" x14ac:dyDescent="0.2">
      <c r="A105" s="137">
        <v>94</v>
      </c>
      <c r="B105" s="137">
        <v>79300000</v>
      </c>
      <c r="C105" s="137" t="s">
        <v>303</v>
      </c>
      <c r="D105" s="104">
        <f>5000+1000</f>
        <v>6000</v>
      </c>
      <c r="E105" s="107" t="s">
        <v>32</v>
      </c>
      <c r="F105" s="108" t="s">
        <v>12</v>
      </c>
      <c r="G105" s="108" t="s">
        <v>24</v>
      </c>
      <c r="H105" s="109"/>
      <c r="I105" s="148" t="s">
        <v>304</v>
      </c>
      <c r="J105" s="148"/>
    </row>
    <row r="106" spans="1:13" s="115" customFormat="1" ht="33" customHeight="1" x14ac:dyDescent="0.2">
      <c r="A106" s="137">
        <v>95</v>
      </c>
      <c r="B106" s="137">
        <v>79400000</v>
      </c>
      <c r="C106" s="137" t="s">
        <v>305</v>
      </c>
      <c r="D106" s="104">
        <v>3000</v>
      </c>
      <c r="E106" s="107" t="s">
        <v>32</v>
      </c>
      <c r="F106" s="108" t="s">
        <v>12</v>
      </c>
      <c r="G106" s="108" t="s">
        <v>24</v>
      </c>
      <c r="H106" s="109"/>
      <c r="I106" s="148" t="s">
        <v>306</v>
      </c>
      <c r="J106" s="148"/>
    </row>
    <row r="107" spans="1:13" s="115" customFormat="1" ht="33" customHeight="1" x14ac:dyDescent="0.2">
      <c r="A107" s="137">
        <v>96</v>
      </c>
      <c r="B107" s="137">
        <v>79800000</v>
      </c>
      <c r="C107" s="137" t="s">
        <v>307</v>
      </c>
      <c r="D107" s="104">
        <v>3000</v>
      </c>
      <c r="E107" s="107" t="s">
        <v>10</v>
      </c>
      <c r="F107" s="108" t="s">
        <v>12</v>
      </c>
      <c r="G107" s="108" t="s">
        <v>24</v>
      </c>
      <c r="H107" s="109"/>
      <c r="I107" s="152" t="s">
        <v>308</v>
      </c>
      <c r="J107" s="154"/>
    </row>
    <row r="108" spans="1:13" s="115" customFormat="1" ht="40.5" customHeight="1" x14ac:dyDescent="0.2">
      <c r="A108" s="137">
        <v>97</v>
      </c>
      <c r="B108" s="143">
        <v>79900000</v>
      </c>
      <c r="C108" s="143" t="s">
        <v>96</v>
      </c>
      <c r="D108" s="104">
        <f>5000</f>
        <v>5000</v>
      </c>
      <c r="E108" s="107" t="s">
        <v>10</v>
      </c>
      <c r="F108" s="108" t="s">
        <v>12</v>
      </c>
      <c r="G108" s="108" t="s">
        <v>24</v>
      </c>
      <c r="H108" s="109" t="s">
        <v>17</v>
      </c>
      <c r="I108" s="114" t="s">
        <v>309</v>
      </c>
    </row>
    <row r="109" spans="1:13" s="115" customFormat="1" ht="40.5" customHeight="1" x14ac:dyDescent="0.2">
      <c r="A109" s="137">
        <v>98</v>
      </c>
      <c r="B109" s="163"/>
      <c r="C109" s="163"/>
      <c r="D109" s="104">
        <v>20000</v>
      </c>
      <c r="E109" s="107" t="s">
        <v>10</v>
      </c>
      <c r="F109" s="108" t="s">
        <v>12</v>
      </c>
      <c r="G109" s="108" t="s">
        <v>24</v>
      </c>
      <c r="H109" s="109" t="s">
        <v>59</v>
      </c>
      <c r="I109" s="114" t="s">
        <v>309</v>
      </c>
    </row>
    <row r="110" spans="1:13" s="115" customFormat="1" ht="40.5" customHeight="1" x14ac:dyDescent="0.2">
      <c r="A110" s="137">
        <v>99</v>
      </c>
      <c r="B110" s="146"/>
      <c r="C110" s="146"/>
      <c r="D110" s="104">
        <v>9900</v>
      </c>
      <c r="E110" s="107" t="s">
        <v>10</v>
      </c>
      <c r="F110" s="108" t="s">
        <v>12</v>
      </c>
      <c r="G110" s="108" t="s">
        <v>24</v>
      </c>
      <c r="H110" s="109"/>
      <c r="I110" s="114" t="s">
        <v>310</v>
      </c>
    </row>
    <row r="111" spans="1:13" s="115" customFormat="1" ht="30" customHeight="1" x14ac:dyDescent="0.2">
      <c r="A111" s="137">
        <v>100</v>
      </c>
      <c r="B111" s="137">
        <v>90400000</v>
      </c>
      <c r="C111" s="137" t="s">
        <v>311</v>
      </c>
      <c r="D111" s="104">
        <f>1000+3000</f>
        <v>4000</v>
      </c>
      <c r="E111" s="107" t="s">
        <v>10</v>
      </c>
      <c r="F111" s="108" t="s">
        <v>12</v>
      </c>
      <c r="G111" s="108" t="s">
        <v>24</v>
      </c>
      <c r="H111" s="109"/>
      <c r="I111" s="114" t="s">
        <v>312</v>
      </c>
    </row>
    <row r="112" spans="1:13" s="115" customFormat="1" ht="29.25" customHeight="1" x14ac:dyDescent="0.2">
      <c r="A112" s="137">
        <v>101</v>
      </c>
      <c r="B112" s="137">
        <v>90900000</v>
      </c>
      <c r="C112" s="137" t="s">
        <v>52</v>
      </c>
      <c r="D112" s="104">
        <v>100000</v>
      </c>
      <c r="E112" s="107" t="s">
        <v>25</v>
      </c>
      <c r="F112" s="108" t="s">
        <v>12</v>
      </c>
      <c r="G112" s="108" t="s">
        <v>24</v>
      </c>
      <c r="H112" s="109"/>
      <c r="I112" s="148" t="s">
        <v>313</v>
      </c>
      <c r="J112" s="148"/>
      <c r="K112" s="154"/>
      <c r="M112" s="117"/>
    </row>
    <row r="113" spans="1:14" s="115" customFormat="1" ht="35.25" customHeight="1" x14ac:dyDescent="0.2">
      <c r="A113" s="137">
        <v>102</v>
      </c>
      <c r="B113" s="107">
        <v>92100000</v>
      </c>
      <c r="C113" s="107" t="s">
        <v>314</v>
      </c>
      <c r="D113" s="104">
        <v>7901</v>
      </c>
      <c r="E113" s="107" t="s">
        <v>10</v>
      </c>
      <c r="F113" s="108" t="s">
        <v>179</v>
      </c>
      <c r="G113" s="108" t="s">
        <v>180</v>
      </c>
      <c r="H113" s="109"/>
      <c r="I113" s="152" t="s">
        <v>273</v>
      </c>
    </row>
    <row r="114" spans="1:14" s="115" customFormat="1" ht="37.5" customHeight="1" x14ac:dyDescent="0.2">
      <c r="A114" s="137">
        <v>103</v>
      </c>
      <c r="B114" s="137">
        <v>92500000</v>
      </c>
      <c r="C114" s="137" t="s">
        <v>37</v>
      </c>
      <c r="D114" s="104">
        <v>50000</v>
      </c>
      <c r="E114" s="107" t="s">
        <v>10</v>
      </c>
      <c r="F114" s="108" t="s">
        <v>12</v>
      </c>
      <c r="G114" s="108" t="s">
        <v>24</v>
      </c>
      <c r="H114" s="109" t="s">
        <v>17</v>
      </c>
      <c r="I114" s="151" t="s">
        <v>93</v>
      </c>
      <c r="J114" s="154"/>
    </row>
    <row r="115" spans="1:14" s="115" customFormat="1" ht="30" customHeight="1" x14ac:dyDescent="0.2">
      <c r="A115" s="137">
        <v>104</v>
      </c>
      <c r="B115" s="137">
        <v>98300000</v>
      </c>
      <c r="C115" s="137" t="s">
        <v>315</v>
      </c>
      <c r="D115" s="104">
        <v>4000</v>
      </c>
      <c r="E115" s="107" t="s">
        <v>10</v>
      </c>
      <c r="F115" s="108" t="s">
        <v>12</v>
      </c>
      <c r="G115" s="108" t="s">
        <v>24</v>
      </c>
      <c r="H115" s="109"/>
      <c r="I115" s="114" t="s">
        <v>316</v>
      </c>
    </row>
    <row r="116" spans="1:14" s="115" customFormat="1" ht="15.75" x14ac:dyDescent="0.2">
      <c r="A116" s="114"/>
      <c r="B116" s="114"/>
      <c r="C116" s="164"/>
      <c r="D116" s="165"/>
      <c r="E116" s="119"/>
      <c r="F116" s="166"/>
      <c r="G116" s="119"/>
      <c r="I116" s="114"/>
    </row>
    <row r="117" spans="1:14" ht="15.75" customHeight="1" x14ac:dyDescent="0.2">
      <c r="C117" s="164"/>
      <c r="D117" s="33"/>
      <c r="F117" s="119"/>
    </row>
    <row r="118" spans="1:14" ht="17.25" customHeight="1" x14ac:dyDescent="0.2">
      <c r="A118" s="115"/>
      <c r="B118" s="167"/>
      <c r="C118" s="119"/>
      <c r="D118" s="168"/>
      <c r="E118" s="114"/>
      <c r="F118" s="114"/>
      <c r="G118" s="114"/>
      <c r="H118" s="154"/>
      <c r="I118" s="169"/>
    </row>
    <row r="119" spans="1:14" ht="27.75" customHeight="1" x14ac:dyDescent="0.2">
      <c r="A119" s="115"/>
      <c r="B119" s="170" t="s">
        <v>317</v>
      </c>
      <c r="C119" s="170"/>
    </row>
    <row r="120" spans="1:14" ht="13.5" customHeight="1" x14ac:dyDescent="0.2">
      <c r="A120" s="115"/>
      <c r="B120" s="115"/>
      <c r="D120" s="4"/>
      <c r="E120" s="171" t="s">
        <v>9</v>
      </c>
      <c r="F120" s="171"/>
    </row>
    <row r="121" spans="1:14" ht="20.25" customHeight="1" x14ac:dyDescent="0.2">
      <c r="A121" s="115"/>
      <c r="B121" s="115"/>
    </row>
    <row r="122" spans="1:14" x14ac:dyDescent="0.2">
      <c r="B122" s="115"/>
      <c r="I122" s="172"/>
    </row>
    <row r="123" spans="1:14" x14ac:dyDescent="0.2">
      <c r="A123" s="115"/>
      <c r="B123" s="173"/>
      <c r="C123" s="173"/>
      <c r="D123" s="174"/>
    </row>
    <row r="124" spans="1:14" ht="13.5" customHeight="1" x14ac:dyDescent="0.2">
      <c r="A124" s="115"/>
      <c r="B124" s="170" t="s">
        <v>20</v>
      </c>
      <c r="C124" s="170"/>
      <c r="D124" s="175"/>
    </row>
    <row r="125" spans="1:14" x14ac:dyDescent="0.2">
      <c r="A125" s="115"/>
      <c r="B125" s="115"/>
      <c r="E125" s="171" t="s">
        <v>9</v>
      </c>
      <c r="F125" s="171"/>
    </row>
    <row r="126" spans="1:14" ht="16.5" customHeight="1" x14ac:dyDescent="0.2">
      <c r="A126" s="115"/>
      <c r="B126" s="115"/>
    </row>
    <row r="127" spans="1:14" x14ac:dyDescent="0.2">
      <c r="A127" s="115"/>
    </row>
    <row r="128" spans="1:14" ht="19.5" customHeight="1" x14ac:dyDescent="0.2">
      <c r="C128" s="176"/>
      <c r="M128" s="1"/>
      <c r="N128" s="1"/>
    </row>
    <row r="129" spans="3:14" x14ac:dyDescent="0.2">
      <c r="M129" s="1"/>
      <c r="N129" s="1"/>
    </row>
    <row r="130" spans="3:14" ht="24.75" customHeight="1" x14ac:dyDescent="0.2">
      <c r="C130" s="119"/>
      <c r="M130" s="1"/>
      <c r="N130" s="1"/>
    </row>
    <row r="131" spans="3:14" ht="22.5" customHeight="1" x14ac:dyDescent="0.2">
      <c r="M131" s="1"/>
      <c r="N131" s="1"/>
    </row>
    <row r="132" spans="3:14" x14ac:dyDescent="0.2">
      <c r="C132" s="172"/>
      <c r="M132" s="1"/>
      <c r="N132" s="1"/>
    </row>
  </sheetData>
  <sheetProtection algorithmName="SHA-512" hashValue="F3N1jHoQbx2ayhSbl/1l8PnEumyGz29aYNrTeecEBuMraq1zfzAiep8J2qrNbyIxJrNs5pP1pXkeBEr4nfArpA==" saltValue="hcHT0/wr/L3m5K7xVDhR8Q==" spinCount="100000" sheet="1" objects="1" scenarios="1"/>
  <mergeCells count="44">
    <mergeCell ref="E125:F125"/>
    <mergeCell ref="B108:B110"/>
    <mergeCell ref="C108:C110"/>
    <mergeCell ref="B119:C119"/>
    <mergeCell ref="E120:F120"/>
    <mergeCell ref="B123:C123"/>
    <mergeCell ref="B124:C124"/>
    <mergeCell ref="B92:B93"/>
    <mergeCell ref="C92:C93"/>
    <mergeCell ref="B96:B97"/>
    <mergeCell ref="C96:C97"/>
    <mergeCell ref="B100:B101"/>
    <mergeCell ref="C100:C101"/>
    <mergeCell ref="B80:B81"/>
    <mergeCell ref="C80:C81"/>
    <mergeCell ref="B84:B86"/>
    <mergeCell ref="C84:C86"/>
    <mergeCell ref="B89:B90"/>
    <mergeCell ref="C89:C90"/>
    <mergeCell ref="B57:B58"/>
    <mergeCell ref="C57:C58"/>
    <mergeCell ref="B61:B62"/>
    <mergeCell ref="C61:C62"/>
    <mergeCell ref="B69:B70"/>
    <mergeCell ref="C69:C70"/>
    <mergeCell ref="B35:B36"/>
    <mergeCell ref="C35:C36"/>
    <mergeCell ref="B37:B38"/>
    <mergeCell ref="C37:C38"/>
    <mergeCell ref="B53:B54"/>
    <mergeCell ref="C53:C54"/>
    <mergeCell ref="A8:H8"/>
    <mergeCell ref="A9:H9"/>
    <mergeCell ref="B13:B14"/>
    <mergeCell ref="C13:C14"/>
    <mergeCell ref="B23:B24"/>
    <mergeCell ref="C23:C24"/>
    <mergeCell ref="C3:G3"/>
    <mergeCell ref="A4:E5"/>
    <mergeCell ref="F4:H4"/>
    <mergeCell ref="F5:H5"/>
    <mergeCell ref="A6:E6"/>
    <mergeCell ref="F6:H7"/>
    <mergeCell ref="A7:E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EC191-619E-425D-96AD-3562573AABDC}">
  <dimension ref="A2:O35"/>
  <sheetViews>
    <sheetView workbookViewId="0">
      <selection activeCell="O22" sqref="O22"/>
    </sheetView>
  </sheetViews>
  <sheetFormatPr defaultRowHeight="13.5" x14ac:dyDescent="0.2"/>
  <cols>
    <col min="1" max="1" width="3.85546875" style="149" customWidth="1"/>
    <col min="2" max="2" width="10" style="114" customWidth="1"/>
    <col min="3" max="3" width="53.7109375" style="115" customWidth="1"/>
    <col min="4" max="4" width="11.5703125" style="183" customWidth="1"/>
    <col min="5" max="5" width="10.42578125" style="115" customWidth="1"/>
    <col min="6" max="6" width="11.85546875" style="115" customWidth="1"/>
    <col min="7" max="7" width="12.42578125" style="115" customWidth="1"/>
    <col min="8" max="8" width="32" style="115" customWidth="1"/>
    <col min="9" max="12" width="8.28515625" style="114" customWidth="1"/>
    <col min="13" max="16384" width="9.140625" style="115"/>
  </cols>
  <sheetData>
    <row r="2" spans="1:12" x14ac:dyDescent="0.2">
      <c r="B2" s="115"/>
      <c r="H2" s="116" t="s">
        <v>318</v>
      </c>
    </row>
    <row r="3" spans="1:12" x14ac:dyDescent="0.2">
      <c r="B3" s="115"/>
      <c r="C3" s="118" t="s">
        <v>319</v>
      </c>
      <c r="D3" s="118"/>
      <c r="E3" s="118"/>
      <c r="F3" s="118"/>
      <c r="G3" s="118"/>
    </row>
    <row r="4" spans="1:12" x14ac:dyDescent="0.2">
      <c r="A4" s="120" t="s">
        <v>320</v>
      </c>
      <c r="B4" s="121"/>
      <c r="C4" s="121"/>
      <c r="D4" s="121"/>
      <c r="E4" s="122"/>
      <c r="F4" s="184" t="s">
        <v>7</v>
      </c>
      <c r="G4" s="185"/>
      <c r="H4" s="186"/>
    </row>
    <row r="5" spans="1:12" x14ac:dyDescent="0.2">
      <c r="A5" s="124"/>
      <c r="B5" s="125"/>
      <c r="C5" s="125"/>
      <c r="D5" s="125"/>
      <c r="E5" s="126"/>
      <c r="F5" s="127">
        <v>204578581</v>
      </c>
      <c r="G5" s="128"/>
      <c r="H5" s="129"/>
    </row>
    <row r="6" spans="1:12" x14ac:dyDescent="0.2">
      <c r="A6" s="120" t="s">
        <v>8</v>
      </c>
      <c r="B6" s="121"/>
      <c r="C6" s="121"/>
      <c r="D6" s="121"/>
      <c r="E6" s="122"/>
      <c r="F6" s="120" t="s">
        <v>321</v>
      </c>
      <c r="G6" s="130"/>
      <c r="H6" s="131"/>
      <c r="I6" s="187"/>
      <c r="J6" s="187"/>
      <c r="K6" s="187"/>
      <c r="L6" s="187"/>
    </row>
    <row r="7" spans="1:12" x14ac:dyDescent="0.2">
      <c r="A7" s="127" t="s">
        <v>21</v>
      </c>
      <c r="B7" s="128"/>
      <c r="C7" s="128"/>
      <c r="D7" s="128"/>
      <c r="E7" s="129"/>
      <c r="F7" s="132"/>
      <c r="G7" s="133"/>
      <c r="H7" s="134"/>
    </row>
    <row r="8" spans="1:12" x14ac:dyDescent="0.2">
      <c r="A8" s="120" t="s">
        <v>15</v>
      </c>
      <c r="B8" s="121"/>
      <c r="C8" s="121"/>
      <c r="D8" s="121"/>
      <c r="E8" s="121"/>
      <c r="F8" s="121"/>
      <c r="G8" s="121"/>
      <c r="H8" s="122"/>
    </row>
    <row r="9" spans="1:12" s="114" customFormat="1" x14ac:dyDescent="0.2">
      <c r="A9" s="101">
        <f>SUM(D12:D15)</f>
        <v>51550</v>
      </c>
      <c r="B9" s="100"/>
      <c r="C9" s="100"/>
      <c r="D9" s="100"/>
      <c r="E9" s="100"/>
      <c r="F9" s="100"/>
      <c r="G9" s="100"/>
      <c r="H9" s="100"/>
    </row>
    <row r="10" spans="1:12" s="114" customFormat="1" ht="63.75" x14ac:dyDescent="0.2">
      <c r="A10" s="137" t="s">
        <v>1</v>
      </c>
      <c r="B10" s="137" t="s">
        <v>2</v>
      </c>
      <c r="C10" s="137" t="s">
        <v>3</v>
      </c>
      <c r="D10" s="188" t="s">
        <v>38</v>
      </c>
      <c r="E10" s="137" t="s">
        <v>4</v>
      </c>
      <c r="F10" s="137" t="s">
        <v>5</v>
      </c>
      <c r="G10" s="137" t="s">
        <v>6</v>
      </c>
      <c r="H10" s="137" t="s">
        <v>0</v>
      </c>
    </row>
    <row r="11" spans="1:12" s="114" customFormat="1" ht="12.75" x14ac:dyDescent="0.2">
      <c r="A11" s="137">
        <v>1</v>
      </c>
      <c r="B11" s="137">
        <v>2</v>
      </c>
      <c r="C11" s="137">
        <v>3</v>
      </c>
      <c r="D11" s="14">
        <v>4</v>
      </c>
      <c r="E11" s="137">
        <v>5</v>
      </c>
      <c r="F11" s="137">
        <v>6</v>
      </c>
      <c r="G11" s="137">
        <v>7</v>
      </c>
      <c r="H11" s="137">
        <v>8</v>
      </c>
    </row>
    <row r="12" spans="1:12" s="2" customFormat="1" x14ac:dyDescent="0.2">
      <c r="A12" s="137">
        <v>1</v>
      </c>
      <c r="B12" s="139" t="s">
        <v>34</v>
      </c>
      <c r="C12" s="137" t="s">
        <v>35</v>
      </c>
      <c r="D12" s="104">
        <f>15000+1960</f>
        <v>16960</v>
      </c>
      <c r="E12" s="137" t="s">
        <v>14</v>
      </c>
      <c r="F12" s="139" t="s">
        <v>12</v>
      </c>
      <c r="G12" s="139" t="s">
        <v>24</v>
      </c>
      <c r="H12" s="140" t="s">
        <v>13</v>
      </c>
      <c r="I12" s="147"/>
      <c r="J12" s="114"/>
      <c r="K12" s="114"/>
      <c r="L12" s="114"/>
    </row>
    <row r="13" spans="1:12" x14ac:dyDescent="0.2">
      <c r="A13" s="137">
        <v>2</v>
      </c>
      <c r="B13" s="137" t="s">
        <v>48</v>
      </c>
      <c r="C13" s="137" t="s">
        <v>49</v>
      </c>
      <c r="D13" s="104">
        <v>1000</v>
      </c>
      <c r="E13" s="137" t="s">
        <v>10</v>
      </c>
      <c r="F13" s="139" t="s">
        <v>12</v>
      </c>
      <c r="G13" s="139" t="s">
        <v>24</v>
      </c>
      <c r="H13" s="140"/>
      <c r="I13" s="148"/>
    </row>
    <row r="14" spans="1:12" x14ac:dyDescent="0.2">
      <c r="A14" s="137">
        <v>3</v>
      </c>
      <c r="B14" s="137">
        <v>42600000</v>
      </c>
      <c r="C14" s="137" t="s">
        <v>266</v>
      </c>
      <c r="D14" s="104">
        <f>3000-1960</f>
        <v>1040</v>
      </c>
      <c r="E14" s="137" t="s">
        <v>10</v>
      </c>
      <c r="F14" s="139" t="s">
        <v>12</v>
      </c>
      <c r="G14" s="139" t="s">
        <v>24</v>
      </c>
      <c r="H14" s="140"/>
      <c r="I14" s="147"/>
    </row>
    <row r="15" spans="1:12" ht="25.5" x14ac:dyDescent="0.2">
      <c r="A15" s="137">
        <v>4</v>
      </c>
      <c r="B15" s="137">
        <v>45200000</v>
      </c>
      <c r="C15" s="137" t="s">
        <v>64</v>
      </c>
      <c r="D15" s="52">
        <f>24850+7700</f>
        <v>32550</v>
      </c>
      <c r="E15" s="137" t="s">
        <v>25</v>
      </c>
      <c r="F15" s="139" t="s">
        <v>12</v>
      </c>
      <c r="G15" s="139" t="s">
        <v>24</v>
      </c>
      <c r="H15" s="140"/>
      <c r="I15" s="150"/>
    </row>
    <row r="16" spans="1:12" x14ac:dyDescent="0.2">
      <c r="D16" s="189"/>
    </row>
    <row r="17" spans="2:15" x14ac:dyDescent="0.2">
      <c r="B17" s="170" t="s">
        <v>322</v>
      </c>
      <c r="C17" s="170"/>
    </row>
    <row r="18" spans="2:15" x14ac:dyDescent="0.2">
      <c r="B18" s="115"/>
      <c r="D18" s="190"/>
      <c r="E18" s="171" t="s">
        <v>9</v>
      </c>
      <c r="F18" s="171"/>
    </row>
    <row r="19" spans="2:15" x14ac:dyDescent="0.2">
      <c r="B19" s="115"/>
    </row>
    <row r="20" spans="2:15" x14ac:dyDescent="0.2">
      <c r="B20" s="115"/>
    </row>
    <row r="21" spans="2:15" x14ac:dyDescent="0.2">
      <c r="B21" s="173"/>
      <c r="C21" s="173"/>
      <c r="D21" s="173"/>
    </row>
    <row r="22" spans="2:15" x14ac:dyDescent="0.2">
      <c r="B22" s="170" t="s">
        <v>20</v>
      </c>
      <c r="C22" s="170"/>
      <c r="D22" s="170"/>
    </row>
    <row r="23" spans="2:15" x14ac:dyDescent="0.2">
      <c r="B23" s="115"/>
      <c r="E23" s="171" t="s">
        <v>9</v>
      </c>
      <c r="F23" s="171"/>
    </row>
    <row r="28" spans="2:15" x14ac:dyDescent="0.2">
      <c r="N28" s="154"/>
      <c r="O28" s="154"/>
    </row>
    <row r="29" spans="2:15" x14ac:dyDescent="0.2">
      <c r="C29" s="166"/>
      <c r="N29" s="154"/>
      <c r="O29" s="154"/>
    </row>
    <row r="30" spans="2:15" x14ac:dyDescent="0.2">
      <c r="C30" s="191"/>
      <c r="E30" s="176"/>
      <c r="N30" s="154"/>
      <c r="O30" s="154"/>
    </row>
    <row r="31" spans="2:15" x14ac:dyDescent="0.2">
      <c r="C31" s="192"/>
      <c r="N31" s="154"/>
      <c r="O31" s="154"/>
    </row>
    <row r="32" spans="2:15" x14ac:dyDescent="0.2">
      <c r="N32" s="154"/>
      <c r="O32" s="154"/>
    </row>
    <row r="33" spans="3:15" x14ac:dyDescent="0.2">
      <c r="C33" s="119"/>
      <c r="N33" s="154"/>
      <c r="O33" s="154"/>
    </row>
    <row r="34" spans="3:15" x14ac:dyDescent="0.2">
      <c r="N34" s="154"/>
      <c r="O34" s="154"/>
    </row>
    <row r="35" spans="3:15" x14ac:dyDescent="0.2">
      <c r="C35" s="172"/>
      <c r="N35" s="154"/>
      <c r="O35" s="154"/>
    </row>
  </sheetData>
  <sheetProtection algorithmName="SHA-512" hashValue="BohjKeMV/0RptyyeJ+78pfxzf0OxC/FTe1r6v0zJFJ+XhyFyXB57JpDXWkWUVEJ3suQ9b1PNTj15MRnFZiVGBQ==" saltValue="Y/UO93CkMMQkpcHv+V9miw==" spinCount="100000" sheet="1" objects="1" scenarios="1"/>
  <mergeCells count="14">
    <mergeCell ref="E23:F23"/>
    <mergeCell ref="A8:H8"/>
    <mergeCell ref="A9:H9"/>
    <mergeCell ref="B17:C17"/>
    <mergeCell ref="E18:F18"/>
    <mergeCell ref="B21:D21"/>
    <mergeCell ref="B22:D22"/>
    <mergeCell ref="C3:G3"/>
    <mergeCell ref="A4:E5"/>
    <mergeCell ref="F4:H4"/>
    <mergeCell ref="F5:H5"/>
    <mergeCell ref="A6:E6"/>
    <mergeCell ref="F6:H7"/>
    <mergeCell ref="A7:E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68219-1B60-45C7-8F2F-791674D4D05D}">
  <dimension ref="A1:M57"/>
  <sheetViews>
    <sheetView workbookViewId="0">
      <selection activeCell="C15" sqref="C15"/>
    </sheetView>
  </sheetViews>
  <sheetFormatPr defaultRowHeight="13.5" x14ac:dyDescent="0.2"/>
  <cols>
    <col min="1" max="1" width="3.85546875" style="149" customWidth="1"/>
    <col min="2" max="2" width="10" style="114" customWidth="1"/>
    <col min="3" max="3" width="53.7109375" style="115" customWidth="1"/>
    <col min="4" max="4" width="13.5703125" style="3" bestFit="1" customWidth="1"/>
    <col min="5" max="5" width="10.42578125" style="115" customWidth="1"/>
    <col min="6" max="6" width="11.85546875" style="115" customWidth="1"/>
    <col min="7" max="7" width="10.7109375" style="115" customWidth="1"/>
    <col min="8" max="8" width="30.140625" style="115" customWidth="1"/>
    <col min="9" max="9" width="12.42578125" style="114" hidden="1" customWidth="1"/>
    <col min="10" max="16384" width="9.140625" style="115"/>
  </cols>
  <sheetData>
    <row r="1" spans="1:11" ht="18" customHeight="1" x14ac:dyDescent="0.2"/>
    <row r="2" spans="1:11" ht="33" customHeight="1" x14ac:dyDescent="0.2">
      <c r="B2" s="115"/>
      <c r="H2" s="116" t="s">
        <v>323</v>
      </c>
    </row>
    <row r="3" spans="1:11" ht="20.25" customHeight="1" x14ac:dyDescent="0.2">
      <c r="B3" s="115"/>
      <c r="C3" s="118" t="s">
        <v>319</v>
      </c>
      <c r="D3" s="118"/>
      <c r="E3" s="118"/>
      <c r="F3" s="118"/>
      <c r="G3" s="118"/>
    </row>
    <row r="4" spans="1:11" ht="26.25" customHeight="1" x14ac:dyDescent="0.2">
      <c r="A4" s="120" t="s">
        <v>324</v>
      </c>
      <c r="B4" s="121"/>
      <c r="C4" s="121"/>
      <c r="D4" s="121"/>
      <c r="E4" s="122"/>
      <c r="F4" s="184" t="s">
        <v>7</v>
      </c>
      <c r="G4" s="185"/>
      <c r="H4" s="186"/>
    </row>
    <row r="5" spans="1:11" ht="18.75" customHeight="1" x14ac:dyDescent="0.2">
      <c r="A5" s="124"/>
      <c r="B5" s="125"/>
      <c r="C5" s="125"/>
      <c r="D5" s="125"/>
      <c r="E5" s="126"/>
      <c r="F5" s="127">
        <v>204578581</v>
      </c>
      <c r="G5" s="128"/>
      <c r="H5" s="129"/>
    </row>
    <row r="6" spans="1:11" ht="25.5" customHeight="1" x14ac:dyDescent="0.2">
      <c r="A6" s="120" t="s">
        <v>8</v>
      </c>
      <c r="B6" s="121"/>
      <c r="C6" s="121"/>
      <c r="D6" s="121"/>
      <c r="E6" s="122"/>
      <c r="F6" s="120" t="s">
        <v>325</v>
      </c>
      <c r="G6" s="130"/>
      <c r="H6" s="131"/>
    </row>
    <row r="7" spans="1:11" ht="43.5" customHeight="1" x14ac:dyDescent="0.2">
      <c r="A7" s="127" t="s">
        <v>326</v>
      </c>
      <c r="B7" s="128"/>
      <c r="C7" s="128"/>
      <c r="D7" s="128"/>
      <c r="E7" s="129"/>
      <c r="F7" s="132"/>
      <c r="G7" s="133"/>
      <c r="H7" s="134"/>
    </row>
    <row r="8" spans="1:11" ht="21" customHeight="1" x14ac:dyDescent="0.2">
      <c r="A8" s="120" t="s">
        <v>15</v>
      </c>
      <c r="B8" s="121"/>
      <c r="C8" s="121"/>
      <c r="D8" s="121"/>
      <c r="E8" s="121"/>
      <c r="F8" s="121"/>
      <c r="G8" s="121"/>
      <c r="H8" s="122"/>
    </row>
    <row r="9" spans="1:11" s="114" customFormat="1" ht="15.75" customHeight="1" x14ac:dyDescent="0.2">
      <c r="A9" s="101">
        <f>2226000+77880</f>
        <v>2303880</v>
      </c>
      <c r="B9" s="100"/>
      <c r="C9" s="100"/>
      <c r="D9" s="100"/>
      <c r="E9" s="100"/>
      <c r="F9" s="100"/>
      <c r="G9" s="100"/>
      <c r="H9" s="100"/>
      <c r="I9" s="193"/>
      <c r="J9" s="194"/>
    </row>
    <row r="10" spans="1:11" s="114" customFormat="1" ht="71.25" customHeight="1" x14ac:dyDescent="0.2">
      <c r="A10" s="107" t="s">
        <v>1</v>
      </c>
      <c r="B10" s="107" t="s">
        <v>2</v>
      </c>
      <c r="C10" s="107" t="s">
        <v>3</v>
      </c>
      <c r="D10" s="195" t="s">
        <v>38</v>
      </c>
      <c r="E10" s="107" t="s">
        <v>4</v>
      </c>
      <c r="F10" s="107" t="s">
        <v>5</v>
      </c>
      <c r="G10" s="107" t="s">
        <v>6</v>
      </c>
      <c r="H10" s="107" t="s">
        <v>0</v>
      </c>
    </row>
    <row r="11" spans="1:11" s="114" customFormat="1" ht="15" customHeight="1" x14ac:dyDescent="0.2">
      <c r="A11" s="107">
        <v>1</v>
      </c>
      <c r="B11" s="107">
        <v>2</v>
      </c>
      <c r="C11" s="107">
        <v>3</v>
      </c>
      <c r="D11" s="104">
        <v>4</v>
      </c>
      <c r="E11" s="107">
        <v>5</v>
      </c>
      <c r="F11" s="107">
        <v>6</v>
      </c>
      <c r="G11" s="107">
        <v>7</v>
      </c>
      <c r="H11" s="107">
        <v>8</v>
      </c>
    </row>
    <row r="12" spans="1:11" ht="27" customHeight="1" x14ac:dyDescent="0.2">
      <c r="A12" s="107">
        <v>1</v>
      </c>
      <c r="B12" s="107">
        <v>18400000</v>
      </c>
      <c r="C12" s="107" t="s">
        <v>65</v>
      </c>
      <c r="D12" s="104">
        <v>2600</v>
      </c>
      <c r="E12" s="107" t="s">
        <v>10</v>
      </c>
      <c r="F12" s="108" t="s">
        <v>179</v>
      </c>
      <c r="G12" s="108" t="s">
        <v>180</v>
      </c>
      <c r="H12" s="109"/>
      <c r="I12" s="152"/>
      <c r="J12" s="152"/>
      <c r="K12" s="148"/>
    </row>
    <row r="13" spans="1:11" ht="25.5" customHeight="1" x14ac:dyDescent="0.2">
      <c r="A13" s="107">
        <v>2</v>
      </c>
      <c r="B13" s="107">
        <v>18800000</v>
      </c>
      <c r="C13" s="107" t="s">
        <v>163</v>
      </c>
      <c r="D13" s="104">
        <v>5950</v>
      </c>
      <c r="E13" s="107" t="s">
        <v>10</v>
      </c>
      <c r="F13" s="108" t="s">
        <v>179</v>
      </c>
      <c r="G13" s="108" t="s">
        <v>180</v>
      </c>
      <c r="H13" s="109"/>
      <c r="I13" s="152"/>
      <c r="J13" s="152"/>
      <c r="K13" s="148"/>
    </row>
    <row r="14" spans="1:11" ht="33" customHeight="1" x14ac:dyDescent="0.2">
      <c r="A14" s="107">
        <v>3</v>
      </c>
      <c r="B14" s="107">
        <v>22100000</v>
      </c>
      <c r="C14" s="107" t="s">
        <v>220</v>
      </c>
      <c r="D14" s="104">
        <v>20600</v>
      </c>
      <c r="E14" s="107" t="s">
        <v>25</v>
      </c>
      <c r="F14" s="108" t="s">
        <v>179</v>
      </c>
      <c r="G14" s="108" t="s">
        <v>180</v>
      </c>
      <c r="H14" s="109"/>
      <c r="I14" s="144" t="s">
        <v>221</v>
      </c>
    </row>
    <row r="15" spans="1:11" ht="26.25" customHeight="1" x14ac:dyDescent="0.2">
      <c r="A15" s="107">
        <v>4</v>
      </c>
      <c r="B15" s="107">
        <v>30200000</v>
      </c>
      <c r="C15" s="107" t="s">
        <v>166</v>
      </c>
      <c r="D15" s="178">
        <f>70000-9000</f>
        <v>61000</v>
      </c>
      <c r="E15" s="107" t="s">
        <v>25</v>
      </c>
      <c r="F15" s="108" t="s">
        <v>12</v>
      </c>
      <c r="G15" s="108" t="s">
        <v>24</v>
      </c>
      <c r="H15" s="109"/>
      <c r="I15" s="114" t="s">
        <v>327</v>
      </c>
    </row>
    <row r="16" spans="1:11" ht="31.5" customHeight="1" x14ac:dyDescent="0.2">
      <c r="A16" s="107">
        <v>5</v>
      </c>
      <c r="B16" s="107">
        <v>31100000</v>
      </c>
      <c r="C16" s="107" t="s">
        <v>99</v>
      </c>
      <c r="D16" s="104">
        <v>2000</v>
      </c>
      <c r="E16" s="107" t="s">
        <v>10</v>
      </c>
      <c r="F16" s="108" t="s">
        <v>179</v>
      </c>
      <c r="G16" s="108" t="s">
        <v>180</v>
      </c>
      <c r="H16" s="109"/>
      <c r="I16" s="151"/>
      <c r="J16" s="152"/>
      <c r="K16" s="148"/>
    </row>
    <row r="17" spans="1:11" ht="33.75" customHeight="1" x14ac:dyDescent="0.2">
      <c r="A17" s="107">
        <v>6</v>
      </c>
      <c r="B17" s="107">
        <v>33100000</v>
      </c>
      <c r="C17" s="107" t="s">
        <v>237</v>
      </c>
      <c r="D17" s="104">
        <v>8051</v>
      </c>
      <c r="E17" s="107" t="s">
        <v>10</v>
      </c>
      <c r="F17" s="108" t="s">
        <v>179</v>
      </c>
      <c r="G17" s="108" t="s">
        <v>180</v>
      </c>
      <c r="H17" s="111"/>
      <c r="I17" s="157" t="s">
        <v>238</v>
      </c>
    </row>
    <row r="18" spans="1:11" ht="33" customHeight="1" x14ac:dyDescent="0.2">
      <c r="A18" s="107">
        <v>7</v>
      </c>
      <c r="B18" s="107">
        <v>35100000</v>
      </c>
      <c r="C18" s="107" t="s">
        <v>68</v>
      </c>
      <c r="D18" s="104">
        <v>9999</v>
      </c>
      <c r="E18" s="107" t="s">
        <v>10</v>
      </c>
      <c r="F18" s="108" t="s">
        <v>179</v>
      </c>
      <c r="G18" s="108" t="s">
        <v>180</v>
      </c>
      <c r="H18" s="107"/>
      <c r="I18" s="147" t="s">
        <v>246</v>
      </c>
      <c r="J18" s="147"/>
    </row>
    <row r="19" spans="1:11" ht="35.25" customHeight="1" x14ac:dyDescent="0.2">
      <c r="A19" s="107">
        <v>8</v>
      </c>
      <c r="B19" s="107">
        <v>42100000</v>
      </c>
      <c r="C19" s="107" t="s">
        <v>144</v>
      </c>
      <c r="D19" s="110">
        <v>9000</v>
      </c>
      <c r="E19" s="107" t="s">
        <v>10</v>
      </c>
      <c r="F19" s="108" t="s">
        <v>179</v>
      </c>
      <c r="G19" s="108" t="s">
        <v>180</v>
      </c>
      <c r="H19" s="109"/>
      <c r="I19" s="152"/>
    </row>
    <row r="20" spans="1:11" ht="35.25" customHeight="1" x14ac:dyDescent="0.2">
      <c r="A20" s="107">
        <v>9</v>
      </c>
      <c r="B20" s="107">
        <v>42400000</v>
      </c>
      <c r="C20" s="107" t="s">
        <v>263</v>
      </c>
      <c r="D20" s="104">
        <v>2000</v>
      </c>
      <c r="E20" s="107" t="s">
        <v>10</v>
      </c>
      <c r="F20" s="108" t="s">
        <v>179</v>
      </c>
      <c r="G20" s="108" t="s">
        <v>180</v>
      </c>
      <c r="H20" s="109"/>
      <c r="I20" s="151" t="s">
        <v>264</v>
      </c>
    </row>
    <row r="21" spans="1:11" ht="34.5" customHeight="1" x14ac:dyDescent="0.2">
      <c r="A21" s="107">
        <v>10</v>
      </c>
      <c r="B21" s="107">
        <v>42600000</v>
      </c>
      <c r="C21" s="107" t="s">
        <v>266</v>
      </c>
      <c r="D21" s="104">
        <v>7000</v>
      </c>
      <c r="E21" s="107" t="s">
        <v>10</v>
      </c>
      <c r="F21" s="108" t="s">
        <v>179</v>
      </c>
      <c r="G21" s="108" t="s">
        <v>180</v>
      </c>
      <c r="H21" s="109"/>
      <c r="I21" s="141" t="s">
        <v>267</v>
      </c>
      <c r="J21" s="154"/>
    </row>
    <row r="22" spans="1:11" ht="29.25" customHeight="1" x14ac:dyDescent="0.2">
      <c r="A22" s="107">
        <v>11</v>
      </c>
      <c r="B22" s="107">
        <v>43800000</v>
      </c>
      <c r="C22" s="107" t="s">
        <v>121</v>
      </c>
      <c r="D22" s="110">
        <v>595000</v>
      </c>
      <c r="E22" s="107" t="s">
        <v>25</v>
      </c>
      <c r="F22" s="108" t="s">
        <v>12</v>
      </c>
      <c r="G22" s="108" t="s">
        <v>24</v>
      </c>
      <c r="H22" s="109"/>
      <c r="I22" s="141" t="s">
        <v>328</v>
      </c>
      <c r="J22" s="148"/>
    </row>
    <row r="23" spans="1:11" ht="35.25" customHeight="1" x14ac:dyDescent="0.2">
      <c r="A23" s="107">
        <v>12</v>
      </c>
      <c r="B23" s="107">
        <v>44500000</v>
      </c>
      <c r="C23" s="107" t="s">
        <v>183</v>
      </c>
      <c r="D23" s="104">
        <v>9990</v>
      </c>
      <c r="E23" s="107" t="s">
        <v>10</v>
      </c>
      <c r="F23" s="108" t="s">
        <v>179</v>
      </c>
      <c r="G23" s="108" t="s">
        <v>180</v>
      </c>
      <c r="H23" s="109"/>
      <c r="I23" s="147"/>
      <c r="J23" s="152"/>
      <c r="K23" s="154"/>
    </row>
    <row r="24" spans="1:11" ht="39.75" customHeight="1" x14ac:dyDescent="0.2">
      <c r="A24" s="107">
        <v>13</v>
      </c>
      <c r="B24" s="107">
        <v>45200000</v>
      </c>
      <c r="C24" s="107" t="s">
        <v>64</v>
      </c>
      <c r="D24" s="110">
        <v>77880</v>
      </c>
      <c r="E24" s="107" t="s">
        <v>25</v>
      </c>
      <c r="F24" s="108" t="s">
        <v>179</v>
      </c>
      <c r="G24" s="108" t="s">
        <v>180</v>
      </c>
      <c r="H24" s="109"/>
      <c r="I24" s="144" t="s">
        <v>329</v>
      </c>
      <c r="J24" s="150"/>
      <c r="K24" s="148"/>
    </row>
    <row r="25" spans="1:11" s="114" customFormat="1" ht="22.5" customHeight="1" x14ac:dyDescent="0.2">
      <c r="A25" s="107">
        <v>14</v>
      </c>
      <c r="B25" s="196">
        <v>55100000</v>
      </c>
      <c r="C25" s="196" t="s">
        <v>330</v>
      </c>
      <c r="D25" s="104">
        <f>20000-10100</f>
        <v>9900</v>
      </c>
      <c r="E25" s="107" t="s">
        <v>10</v>
      </c>
      <c r="F25" s="108" t="s">
        <v>12</v>
      </c>
      <c r="G25" s="108" t="s">
        <v>24</v>
      </c>
      <c r="H25" s="109"/>
    </row>
    <row r="26" spans="1:11" s="114" customFormat="1" ht="25.5" customHeight="1" x14ac:dyDescent="0.2">
      <c r="A26" s="107">
        <v>15</v>
      </c>
      <c r="B26" s="197"/>
      <c r="C26" s="197"/>
      <c r="D26" s="104">
        <v>50000</v>
      </c>
      <c r="E26" s="107" t="s">
        <v>10</v>
      </c>
      <c r="F26" s="108" t="s">
        <v>12</v>
      </c>
      <c r="G26" s="108" t="s">
        <v>24</v>
      </c>
      <c r="H26" s="109" t="s">
        <v>59</v>
      </c>
    </row>
    <row r="27" spans="1:11" s="114" customFormat="1" ht="28.5" customHeight="1" x14ac:dyDescent="0.2">
      <c r="A27" s="107">
        <v>16</v>
      </c>
      <c r="B27" s="196">
        <v>55300000</v>
      </c>
      <c r="C27" s="196" t="s">
        <v>97</v>
      </c>
      <c r="D27" s="104">
        <v>10000</v>
      </c>
      <c r="E27" s="107" t="s">
        <v>10</v>
      </c>
      <c r="F27" s="108" t="s">
        <v>12</v>
      </c>
      <c r="G27" s="108" t="s">
        <v>24</v>
      </c>
      <c r="H27" s="109" t="s">
        <v>59</v>
      </c>
    </row>
    <row r="28" spans="1:11" s="114" customFormat="1" ht="28.5" customHeight="1" x14ac:dyDescent="0.2">
      <c r="A28" s="107">
        <v>17</v>
      </c>
      <c r="B28" s="197"/>
      <c r="C28" s="197"/>
      <c r="D28" s="104">
        <v>16000</v>
      </c>
      <c r="E28" s="107" t="s">
        <v>25</v>
      </c>
      <c r="F28" s="108" t="s">
        <v>179</v>
      </c>
      <c r="G28" s="108" t="s">
        <v>180</v>
      </c>
      <c r="H28" s="109"/>
    </row>
    <row r="29" spans="1:11" s="114" customFormat="1" ht="28.5" customHeight="1" x14ac:dyDescent="0.2">
      <c r="A29" s="107">
        <v>18</v>
      </c>
      <c r="B29" s="107">
        <v>60100000</v>
      </c>
      <c r="C29" s="107" t="s">
        <v>331</v>
      </c>
      <c r="D29" s="104">
        <v>9000</v>
      </c>
      <c r="E29" s="107" t="s">
        <v>10</v>
      </c>
      <c r="F29" s="108" t="s">
        <v>12</v>
      </c>
      <c r="G29" s="108" t="s">
        <v>24</v>
      </c>
      <c r="H29" s="109"/>
    </row>
    <row r="30" spans="1:11" s="114" customFormat="1" ht="28.5" customHeight="1" x14ac:dyDescent="0.2">
      <c r="A30" s="107">
        <v>19</v>
      </c>
      <c r="B30" s="107">
        <v>66100000</v>
      </c>
      <c r="C30" s="107" t="s">
        <v>332</v>
      </c>
      <c r="D30" s="104">
        <v>2000</v>
      </c>
      <c r="E30" s="107" t="s">
        <v>10</v>
      </c>
      <c r="F30" s="108" t="s">
        <v>12</v>
      </c>
      <c r="G30" s="108" t="s">
        <v>24</v>
      </c>
      <c r="H30" s="109"/>
    </row>
    <row r="31" spans="1:11" ht="30.75" customHeight="1" x14ac:dyDescent="0.2">
      <c r="A31" s="107">
        <v>20</v>
      </c>
      <c r="B31" s="107">
        <v>73100000</v>
      </c>
      <c r="C31" s="107" t="s">
        <v>333</v>
      </c>
      <c r="D31" s="104">
        <f>120000-8800</f>
        <v>111200</v>
      </c>
      <c r="E31" s="107" t="s">
        <v>25</v>
      </c>
      <c r="F31" s="108" t="s">
        <v>12</v>
      </c>
      <c r="G31" s="108" t="s">
        <v>24</v>
      </c>
      <c r="H31" s="109"/>
    </row>
    <row r="32" spans="1:11" ht="27" customHeight="1" x14ac:dyDescent="0.2">
      <c r="A32" s="107">
        <v>21</v>
      </c>
      <c r="B32" s="107">
        <v>77200000</v>
      </c>
      <c r="C32" s="107" t="s">
        <v>27</v>
      </c>
      <c r="D32" s="104">
        <f>1039050+20570</f>
        <v>1059620</v>
      </c>
      <c r="E32" s="107" t="s">
        <v>25</v>
      </c>
      <c r="F32" s="108" t="s">
        <v>12</v>
      </c>
      <c r="G32" s="108" t="s">
        <v>24</v>
      </c>
      <c r="H32" s="109" t="s">
        <v>334</v>
      </c>
      <c r="I32" s="114" t="s">
        <v>335</v>
      </c>
    </row>
    <row r="33" spans="1:9" ht="26.25" customHeight="1" x14ac:dyDescent="0.2">
      <c r="A33" s="107">
        <v>22</v>
      </c>
      <c r="B33" s="107">
        <v>79200000</v>
      </c>
      <c r="C33" s="107" t="s">
        <v>336</v>
      </c>
      <c r="D33" s="104">
        <v>30000</v>
      </c>
      <c r="E33" s="107" t="s">
        <v>25</v>
      </c>
      <c r="F33" s="108" t="s">
        <v>12</v>
      </c>
      <c r="G33" s="108" t="s">
        <v>24</v>
      </c>
      <c r="H33" s="109"/>
    </row>
    <row r="34" spans="1:9" ht="30.75" customHeight="1" x14ac:dyDescent="0.2">
      <c r="A34" s="107">
        <v>23</v>
      </c>
      <c r="B34" s="107">
        <v>79400000</v>
      </c>
      <c r="C34" s="107" t="s">
        <v>305</v>
      </c>
      <c r="D34" s="104">
        <f>169350-84160</f>
        <v>85190</v>
      </c>
      <c r="E34" s="107" t="s">
        <v>25</v>
      </c>
      <c r="F34" s="108" t="s">
        <v>12</v>
      </c>
      <c r="G34" s="108" t="s">
        <v>24</v>
      </c>
      <c r="H34" s="109"/>
    </row>
    <row r="35" spans="1:9" ht="31.5" customHeight="1" x14ac:dyDescent="0.2">
      <c r="A35" s="107">
        <v>24</v>
      </c>
      <c r="B35" s="107">
        <v>79500000</v>
      </c>
      <c r="C35" s="107" t="s">
        <v>337</v>
      </c>
      <c r="D35" s="104">
        <f>20000-10100</f>
        <v>9900</v>
      </c>
      <c r="E35" s="107" t="s">
        <v>10</v>
      </c>
      <c r="F35" s="108" t="s">
        <v>12</v>
      </c>
      <c r="G35" s="108" t="s">
        <v>24</v>
      </c>
      <c r="H35" s="109"/>
    </row>
    <row r="36" spans="1:9" ht="27.75" customHeight="1" x14ac:dyDescent="0.2">
      <c r="A36" s="107">
        <v>25</v>
      </c>
      <c r="B36" s="107">
        <v>80500000</v>
      </c>
      <c r="C36" s="107" t="s">
        <v>118</v>
      </c>
      <c r="D36" s="104">
        <v>100000</v>
      </c>
      <c r="E36" s="107" t="s">
        <v>25</v>
      </c>
      <c r="F36" s="108" t="s">
        <v>12</v>
      </c>
      <c r="G36" s="108" t="s">
        <v>24</v>
      </c>
      <c r="H36" s="109"/>
    </row>
    <row r="37" spans="1:9" s="117" customFormat="1" ht="16.5" customHeight="1" x14ac:dyDescent="0.2">
      <c r="A37" s="149"/>
      <c r="B37" s="198"/>
      <c r="C37" s="176"/>
      <c r="D37" s="199"/>
      <c r="E37" s="200"/>
      <c r="F37" s="114"/>
      <c r="G37" s="114"/>
      <c r="H37" s="201"/>
      <c r="I37" s="200"/>
    </row>
    <row r="38" spans="1:9" ht="12" customHeight="1" x14ac:dyDescent="0.2">
      <c r="B38" s="167"/>
      <c r="C38" s="119"/>
      <c r="D38" s="199"/>
      <c r="E38" s="169"/>
      <c r="F38" s="114"/>
      <c r="G38" s="114"/>
      <c r="H38" s="154"/>
    </row>
    <row r="39" spans="1:9" ht="38.25" customHeight="1" x14ac:dyDescent="0.2">
      <c r="B39" s="170" t="s">
        <v>322</v>
      </c>
      <c r="C39" s="170"/>
    </row>
    <row r="40" spans="1:9" ht="13.5" customHeight="1" x14ac:dyDescent="0.2">
      <c r="B40" s="115"/>
      <c r="D40" s="4"/>
      <c r="E40" s="171" t="s">
        <v>9</v>
      </c>
      <c r="F40" s="171"/>
    </row>
    <row r="41" spans="1:9" ht="37.5" customHeight="1" x14ac:dyDescent="0.2">
      <c r="B41" s="115"/>
    </row>
    <row r="42" spans="1:9" x14ac:dyDescent="0.2">
      <c r="B42" s="115"/>
    </row>
    <row r="43" spans="1:9" ht="21.75" customHeight="1" x14ac:dyDescent="0.2">
      <c r="B43" s="173"/>
      <c r="C43" s="173"/>
      <c r="D43" s="173"/>
    </row>
    <row r="44" spans="1:9" ht="13.5" customHeight="1" x14ac:dyDescent="0.2">
      <c r="B44" s="170" t="s">
        <v>20</v>
      </c>
      <c r="C44" s="170"/>
      <c r="D44" s="170"/>
    </row>
    <row r="45" spans="1:9" x14ac:dyDescent="0.2">
      <c r="B45" s="115"/>
      <c r="E45" s="171" t="s">
        <v>9</v>
      </c>
      <c r="F45" s="171"/>
    </row>
    <row r="50" spans="3:13" x14ac:dyDescent="0.2">
      <c r="L50" s="154"/>
      <c r="M50" s="154"/>
    </row>
    <row r="51" spans="3:13" x14ac:dyDescent="0.2">
      <c r="C51" s="166"/>
      <c r="L51" s="154"/>
      <c r="M51" s="154"/>
    </row>
    <row r="52" spans="3:13" x14ac:dyDescent="0.2">
      <c r="C52" s="191"/>
      <c r="E52" s="176"/>
      <c r="L52" s="154"/>
      <c r="M52" s="154"/>
    </row>
    <row r="53" spans="3:13" ht="19.5" customHeight="1" x14ac:dyDescent="0.2">
      <c r="C53" s="192"/>
      <c r="L53" s="154"/>
      <c r="M53" s="154"/>
    </row>
    <row r="54" spans="3:13" x14ac:dyDescent="0.2">
      <c r="L54" s="154"/>
      <c r="M54" s="154"/>
    </row>
    <row r="55" spans="3:13" ht="24.75" customHeight="1" x14ac:dyDescent="0.2">
      <c r="C55" s="119"/>
      <c r="L55" s="154"/>
      <c r="M55" s="154"/>
    </row>
    <row r="56" spans="3:13" ht="22.5" customHeight="1" x14ac:dyDescent="0.2">
      <c r="L56" s="154"/>
      <c r="M56" s="154"/>
    </row>
    <row r="57" spans="3:13" x14ac:dyDescent="0.2">
      <c r="C57" s="172"/>
      <c r="L57" s="154"/>
      <c r="M57" s="154"/>
    </row>
  </sheetData>
  <sheetProtection algorithmName="SHA-512" hashValue="6m2pNlnILFRgaSEAx9Mb42J8pon09eOSYrhaRL3KfDe/1C6xUqfhPZ1tuAxe78YGAdc2P0zEaKfVALqsAsizjQ==" saltValue="apJ9lqmE8627MNGeysBLwA==" spinCount="100000" sheet="1" objects="1" scenarios="1"/>
  <mergeCells count="18">
    <mergeCell ref="B39:C39"/>
    <mergeCell ref="E40:F40"/>
    <mergeCell ref="B43:D43"/>
    <mergeCell ref="B44:D44"/>
    <mergeCell ref="E45:F45"/>
    <mergeCell ref="A8:H8"/>
    <mergeCell ref="A9:H9"/>
    <mergeCell ref="B25:B26"/>
    <mergeCell ref="C25:C26"/>
    <mergeCell ref="B27:B28"/>
    <mergeCell ref="C27:C28"/>
    <mergeCell ref="C3:G3"/>
    <mergeCell ref="A4:E5"/>
    <mergeCell ref="F4:H4"/>
    <mergeCell ref="F5:H5"/>
    <mergeCell ref="A6:E6"/>
    <mergeCell ref="F6:H7"/>
    <mergeCell ref="A7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ბიუჯეტი-გეგმა</vt:lpstr>
      <vt:lpstr>საკუთარი - გეგმა</vt:lpstr>
      <vt:lpstr>გრანტი-BTC.SCP</vt:lpstr>
      <vt:lpstr>გრანტი (GIZ) (GCF)</vt:lpstr>
      <vt:lpstr>'ბიუჯეტი-გეგმა'!Print_Area</vt:lpstr>
    </vt:vector>
  </TitlesOfParts>
  <Company>SPD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GOCHA NADIRADZE</dc:creator>
  <cp:lastModifiedBy>Khatia Gogoladze</cp:lastModifiedBy>
  <cp:lastPrinted>2023-09-25T11:32:00Z</cp:lastPrinted>
  <dcterms:created xsi:type="dcterms:W3CDTF">2001-03-27T09:30:29Z</dcterms:created>
  <dcterms:modified xsi:type="dcterms:W3CDTF">2024-10-11T07:32:03Z</dcterms:modified>
</cp:coreProperties>
</file>