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საჯარო ინფორმაცია საიტზე 2019-2020\2019\"/>
    </mc:Choice>
  </mc:AlternateContent>
  <bookViews>
    <workbookView xWindow="0" yWindow="0" windowWidth="28800" windowHeight="12300" tabRatio="483"/>
  </bookViews>
  <sheets>
    <sheet name="სახელმწიფო ბიუჯეტი" sheetId="142" r:id="rId1"/>
    <sheet name="საკუთარი სახსრები" sheetId="143" r:id="rId2"/>
    <sheet name="გრანტი" sheetId="144" r:id="rId3"/>
  </sheets>
  <definedNames>
    <definedName name="_xlnm.Print_Area" localSheetId="2">გრანტი!$A$1:$H$33</definedName>
    <definedName name="_xlnm.Print_Area" localSheetId="1">'საკუთარი სახსრები'!$A$1:$H$101</definedName>
    <definedName name="_xlnm.Print_Area" localSheetId="0">'სახელმწიფო ბიუჯეტი'!$A$2:$H$112</definedName>
  </definedNames>
  <calcPr calcId="162913"/>
</workbook>
</file>

<file path=xl/calcChain.xml><?xml version="1.0" encoding="utf-8"?>
<calcChain xmlns="http://schemas.openxmlformats.org/spreadsheetml/2006/main">
  <c r="D18" i="144" l="1"/>
  <c r="D17" i="144"/>
  <c r="D15" i="144"/>
  <c r="D14" i="144"/>
  <c r="D13" i="144"/>
  <c r="A9" i="144"/>
  <c r="D90" i="143" l="1"/>
  <c r="D89" i="143"/>
  <c r="D88" i="143"/>
  <c r="D87" i="143"/>
  <c r="D86" i="143"/>
  <c r="D85" i="143"/>
  <c r="D83" i="143"/>
  <c r="D81" i="143"/>
  <c r="D79" i="143"/>
  <c r="D78" i="143"/>
  <c r="D75" i="143"/>
  <c r="D74" i="143"/>
  <c r="D73" i="143"/>
  <c r="D72" i="143"/>
  <c r="D71" i="143"/>
  <c r="D70" i="143"/>
  <c r="D68" i="143"/>
  <c r="D67" i="143"/>
  <c r="D66" i="143"/>
  <c r="D65" i="143"/>
  <c r="D63" i="143"/>
  <c r="D62" i="143"/>
  <c r="D61" i="143"/>
  <c r="D60" i="143"/>
  <c r="D59" i="143"/>
  <c r="D57" i="143"/>
  <c r="D56" i="143"/>
  <c r="D55" i="143"/>
  <c r="D53" i="143"/>
  <c r="D52" i="143"/>
  <c r="D51" i="143"/>
  <c r="D50" i="143"/>
  <c r="D49" i="143"/>
  <c r="D48" i="143"/>
  <c r="D47" i="143"/>
  <c r="D46" i="143"/>
  <c r="D43" i="143"/>
  <c r="D41" i="143"/>
  <c r="D39" i="143"/>
  <c r="D37" i="143"/>
  <c r="D36" i="143"/>
  <c r="D35" i="143"/>
  <c r="D34" i="143"/>
  <c r="D33" i="143"/>
  <c r="D32" i="143"/>
  <c r="D30" i="143"/>
  <c r="D29" i="143"/>
  <c r="D27" i="143"/>
  <c r="D26" i="143"/>
  <c r="D25" i="143"/>
  <c r="D24" i="143"/>
  <c r="D22" i="143"/>
  <c r="D19" i="143"/>
  <c r="D18" i="143"/>
  <c r="D16" i="143"/>
  <c r="D14" i="143"/>
  <c r="D13" i="143"/>
  <c r="A9" i="143"/>
  <c r="D99" i="142" l="1"/>
  <c r="D98" i="142"/>
  <c r="D97" i="142"/>
  <c r="D96" i="142"/>
  <c r="D95" i="142"/>
  <c r="D94" i="142"/>
  <c r="D93" i="142"/>
  <c r="D92" i="142"/>
  <c r="D91" i="142"/>
  <c r="D89" i="142"/>
  <c r="D88" i="142"/>
  <c r="D87" i="142"/>
  <c r="D85" i="142"/>
  <c r="D84" i="142"/>
  <c r="D83" i="142"/>
  <c r="D82" i="142"/>
  <c r="D81" i="142"/>
  <c r="D80" i="142"/>
  <c r="D79" i="142"/>
  <c r="D77" i="142"/>
  <c r="D76" i="142"/>
  <c r="D75" i="142"/>
  <c r="D74" i="142"/>
  <c r="D73" i="142"/>
  <c r="D72" i="142"/>
  <c r="D71" i="142"/>
  <c r="D70" i="142"/>
  <c r="D69" i="142"/>
  <c r="D68" i="142"/>
  <c r="D66" i="142"/>
  <c r="D65" i="142"/>
  <c r="D64" i="142"/>
  <c r="D63" i="142"/>
  <c r="D62" i="142"/>
  <c r="D61" i="142"/>
  <c r="D60" i="142"/>
  <c r="D58" i="142"/>
  <c r="D56" i="142"/>
  <c r="D55" i="142"/>
  <c r="D54" i="142"/>
  <c r="D53" i="142"/>
  <c r="D52" i="142"/>
  <c r="D51" i="142"/>
  <c r="D50" i="142"/>
  <c r="D49" i="142"/>
  <c r="D48" i="142"/>
  <c r="D47" i="142"/>
  <c r="D46" i="142"/>
  <c r="D44" i="142"/>
  <c r="D43" i="142"/>
  <c r="D42" i="142"/>
  <c r="D41" i="142"/>
  <c r="D40" i="142"/>
  <c r="D39" i="142"/>
  <c r="D37" i="142"/>
  <c r="D36" i="142"/>
  <c r="D34" i="142"/>
  <c r="D33" i="142"/>
  <c r="D32" i="142"/>
  <c r="D31" i="142"/>
  <c r="D30" i="142"/>
  <c r="D29" i="142"/>
  <c r="D28" i="142"/>
  <c r="D27" i="142"/>
  <c r="D26" i="142"/>
  <c r="D25" i="142"/>
  <c r="D24" i="142"/>
  <c r="D23" i="142"/>
  <c r="D22" i="142"/>
  <c r="D21" i="142"/>
  <c r="D20" i="142"/>
  <c r="D19" i="142"/>
  <c r="D18" i="142"/>
  <c r="D17" i="142"/>
  <c r="D16" i="142"/>
  <c r="D15" i="142"/>
  <c r="D14" i="142"/>
  <c r="D13" i="142"/>
  <c r="A9" i="142"/>
</calcChain>
</file>

<file path=xl/sharedStrings.xml><?xml version="1.0" encoding="utf-8"?>
<sst xmlns="http://schemas.openxmlformats.org/spreadsheetml/2006/main" count="781" uniqueCount="146">
  <si>
    <t>SeniSvna</t>
  </si>
  <si>
    <t>#</t>
  </si>
  <si>
    <t>danayofis kodi</t>
  </si>
  <si>
    <t>danayofis dasaxeleba</t>
  </si>
  <si>
    <t>Sesyidvis saSualeba</t>
  </si>
  <si>
    <t>Sesyidvebis dawyebis savaraudo vadebi</t>
  </si>
  <si>
    <t>Sesyidvis obieqtis miwodebis savaraudo vada</t>
  </si>
  <si>
    <t>2. Semsyidveli organizaciis saidentifikacio kodi</t>
  </si>
  <si>
    <t>3. Semsyidveli organizaciis dasaxeleba</t>
  </si>
  <si>
    <t>(xelmowera)</t>
  </si>
  <si>
    <t>g.S</t>
  </si>
  <si>
    <t>aveji</t>
  </si>
  <si>
    <t>I kv</t>
  </si>
  <si>
    <t>konsolidirebuli tenderi</t>
  </si>
  <si>
    <t>k.t</t>
  </si>
  <si>
    <t>5. saxelmwifo Sesyidvebis gegmiT gaTvaliswinebuli jamuri Tanxa dafinansebis wyaros Sesabamisad</t>
  </si>
  <si>
    <r>
      <t xml:space="preserve"> kanonis  me-10</t>
    </r>
    <r>
      <rPr>
        <sz val="7"/>
        <rFont val="Calibri"/>
        <family val="2"/>
        <charset val="204"/>
      </rPr>
      <t>¹</t>
    </r>
    <r>
      <rPr>
        <sz val="7"/>
        <rFont val="AcadNusx"/>
      </rPr>
      <t xml:space="preserve"> muxlis me-3 punqtis "d" qvepunqti</t>
    </r>
  </si>
  <si>
    <r>
      <t xml:space="preserve"> kanonis  me-10</t>
    </r>
    <r>
      <rPr>
        <sz val="7"/>
        <rFont val="Calibri"/>
        <family val="2"/>
        <charset val="204"/>
      </rPr>
      <t>¹</t>
    </r>
    <r>
      <rPr>
        <sz val="7"/>
        <rFont val="AcadNusx"/>
      </rPr>
      <t xml:space="preserve"> muxlis me-3 punqtis "z" qvepunqti</t>
    </r>
  </si>
  <si>
    <r>
      <t xml:space="preserve"> kanonis  me-10</t>
    </r>
    <r>
      <rPr>
        <sz val="7"/>
        <rFont val="Calibri"/>
        <family val="2"/>
        <charset val="204"/>
      </rPr>
      <t>¹</t>
    </r>
    <r>
      <rPr>
        <sz val="7"/>
        <rFont val="AcadNusx"/>
      </rPr>
      <t xml:space="preserve"> muxlis me-3 punqtis "a" qvepunqti</t>
    </r>
  </si>
  <si>
    <t>saxmeleTo, wylisa da sahaero transportis damxmare momsaxurebebi</t>
  </si>
  <si>
    <t>saagentos ufrosi an uflebamosili piri</t>
  </si>
  <si>
    <t>ssip erovnuli satyeo saagento</t>
  </si>
  <si>
    <t xml:space="preserve">saofise manqana-danadgarebi, aRWurviloba da sakancelario nivTebi, kompiuterebis, printerebisa da avejis garda </t>
  </si>
  <si>
    <t>satransporto saSualebebisa da maTTan dakavSirebuli mowyobilobebis SekeTeba, teqnikuri momsaxureba da masTan dakavSirebuli momsaxurebebi</t>
  </si>
  <si>
    <t xml:space="preserve">programuli uzrunvelyofis SemuSaveba da sakonsultacio momsaxurebebi </t>
  </si>
  <si>
    <t>I-IV kv</t>
  </si>
  <si>
    <t>e.t</t>
  </si>
  <si>
    <t xml:space="preserve">             saxelmwifo Sesyidvebis wliuri gegmis forma</t>
  </si>
  <si>
    <t>satyeo meurneobasTan dakavSirebuli momsaxurbebi</t>
  </si>
  <si>
    <t>gamoZiebasa da usafrTxoebasTan dakavSirebuli momsaxurebebi</t>
  </si>
  <si>
    <t xml:space="preserve">akumulatorebi, denis pirveladi wyaroebi da pirveladi elementebi </t>
  </si>
  <si>
    <t xml:space="preserve">internetmomsaxurebebi </t>
  </si>
  <si>
    <t>radio da satelevizio momsaxurebebi</t>
  </si>
  <si>
    <t>Gg.S</t>
  </si>
  <si>
    <t>sadazRvevo da sapensio momsaxurebebi</t>
  </si>
  <si>
    <t>gazeTebi, samecniero Jurnalebi, periodika da Jurnalebi</t>
  </si>
  <si>
    <t>091 00000</t>
  </si>
  <si>
    <t xml:space="preserve">sawvavi  </t>
  </si>
  <si>
    <t>nawilebi da aqsesuarebi satransporto saSualebebisa da maTi ZravebisTvis</t>
  </si>
  <si>
    <t>biblioTekebis, arqivebis, muzeumebisa da sxva kulturuli dawesebulebebis momsaxurebebi</t>
  </si>
  <si>
    <t>savaraudo Rirebuleba</t>
  </si>
  <si>
    <t xml:space="preserve">satelekomunikacio momsaxurebebi </t>
  </si>
  <si>
    <t xml:space="preserve">              danarTi #2</t>
  </si>
  <si>
    <t xml:space="preserve">qaRaldis an muyaos saregistracio Jurnalebi/wignebi, sabuRaltro wignebi, formebi da sxva nabeWdi sakancelario nivTebi </t>
  </si>
  <si>
    <t>markebi, Cekebis wignakebi, banknotebi, aqciebi, sareklamo masala, katalogebi  da saxelmZRvaneloebi</t>
  </si>
  <si>
    <t xml:space="preserve">monacemTa bazisa da operaciuli programuli paketebi  </t>
  </si>
  <si>
    <t xml:space="preserve">personaluri kompiuterebis, saofise aparaturis, satelekomunikacio da audiovizualuri mowyobilobebis SekeTeba, teqnikuri momsaxureba da maTTan dakavSirebuli momsaxurebebi </t>
  </si>
  <si>
    <t>sxvadasxva qarxnuli warmoebis masala da maTTan dakavSirebuli sagnebi</t>
  </si>
  <si>
    <t>qselebi</t>
  </si>
  <si>
    <t>Senobis mowyobilobebis SekeTeba da teqnikuri momsaxureba</t>
  </si>
  <si>
    <t xml:space="preserve">tvirTis gadazidvisa da Senaxvis momsaxurebebi </t>
  </si>
  <si>
    <t>avtosatransporto saualebebi</t>
  </si>
  <si>
    <t>kompiuteruli mowyobilobebi da aqsesuarebi</t>
  </si>
  <si>
    <t>mTliani an nawilobrivi samSeneblo samuSaoebi da samoqalaqo mSeneblobis samuSaoebi</t>
  </si>
  <si>
    <t>miwis saTxreli da saxapavi manqanebi da maTi (maTTan dakavSirebuli) nawilebi</t>
  </si>
  <si>
    <t>sanavigacio da meteorologiuri xelsawyoebi</t>
  </si>
  <si>
    <r>
      <t xml:space="preserve">4. dafinansebis wyaro                                     </t>
    </r>
    <r>
      <rPr>
        <b/>
        <sz val="9"/>
        <rFont val="AcadNusx"/>
      </rPr>
      <t>saxelmwifo biujeti</t>
    </r>
  </si>
  <si>
    <t>administraciuli momsaxureba</t>
  </si>
  <si>
    <t>gasanaTebeli mowyobilobebi da eleqtronaTurebi</t>
  </si>
  <si>
    <r>
      <t xml:space="preserve"> kanonis  me-10</t>
    </r>
    <r>
      <rPr>
        <sz val="7"/>
        <rFont val="Calibri"/>
        <family val="2"/>
        <charset val="204"/>
      </rPr>
      <t>¹</t>
    </r>
    <r>
      <rPr>
        <sz val="7"/>
        <rFont val="AcadNusx"/>
      </rPr>
      <t xml:space="preserve"> muxlis me-3 punqtis "T" qvepunqti</t>
    </r>
  </si>
  <si>
    <t>sainJinro momsaxurebebi</t>
  </si>
  <si>
    <t>axali ambebis saagentoebis momsaxurebebi</t>
  </si>
  <si>
    <r>
      <t xml:space="preserve"> kanonis  me-10</t>
    </r>
    <r>
      <rPr>
        <sz val="7"/>
        <rFont val="Calibri"/>
        <family val="2"/>
        <charset val="204"/>
      </rPr>
      <t>¹</t>
    </r>
    <r>
      <rPr>
        <sz val="7"/>
        <rFont val="AcadNusx"/>
      </rPr>
      <t xml:space="preserve"> muxlis me-3 punqtis "b" qvepunqti</t>
    </r>
  </si>
  <si>
    <t>teqnikuri Semowmeba, analizi da sakonsultacio momsaxurebebi</t>
  </si>
  <si>
    <t>sxvadasxva satransporto mowyobiloba da saTadarigo nawilebi</t>
  </si>
  <si>
    <t>092 00000</t>
  </si>
  <si>
    <t>navTobi, qvanaxSiri da navTobproduqtebi</t>
  </si>
  <si>
    <t xml:space="preserve">soflis meurneobasTan dakavSirebuli momsaxurebebi </t>
  </si>
  <si>
    <t>sxvadasxva zogadi da specialuri daniSnulebis manqana-danadgarebi</t>
  </si>
  <si>
    <t xml:space="preserve"> beWdva da masTan dakavSirebuli momsaxurebebi</t>
  </si>
  <si>
    <t>eleqtroenergiis gamanawilebeli da sakontrolo aparatura</t>
  </si>
  <si>
    <t>specialuri tansacmeli da aqsesuarebi</t>
  </si>
  <si>
    <t>fexsacmeli</t>
  </si>
  <si>
    <t>xelsawyoebi, saketebi, gasaRebebi, anjamebi, damWerebi, Wajvebi da zambarebi/resorebi</t>
  </si>
  <si>
    <t>saamqros danadgarebi</t>
  </si>
  <si>
    <t>amwe da gadasazidi mowyobilobebi da maTi nawilebi</t>
  </si>
  <si>
    <t>individualuri da damxmare mowyobilobebi</t>
  </si>
  <si>
    <t>Carxebi</t>
  </si>
  <si>
    <t>sasuqebi da nitrogenuli naerTebi</t>
  </si>
  <si>
    <t>saojaxo teqnika</t>
  </si>
  <si>
    <t>izolirebuli mavTuli da kabeli</t>
  </si>
  <si>
    <t>garedan Casacmeli tansacmeli</t>
  </si>
  <si>
    <t xml:space="preserve">sagangebo situaciebis dros gamosayenebeli mowyobilobebi da usafrTxoebis saSualebebi </t>
  </si>
  <si>
    <t xml:space="preserve"> motocikletebi, velosipedebi da motocikletis etlebi</t>
  </si>
  <si>
    <t>samuSao tansacmeli, spectansacmeli da aqsesuarebi</t>
  </si>
  <si>
    <t>gamagrilebeli da saventilacio mowyobilobebi</t>
  </si>
  <si>
    <t>034 00000</t>
  </si>
  <si>
    <t xml:space="preserve">metyeveobisa da tyekafvis produqtebi </t>
  </si>
  <si>
    <t>avejis aqsesuarebi</t>
  </si>
  <si>
    <t>arqiteqturuli da masTan dakavSirebuli momsaxurebebi</t>
  </si>
  <si>
    <t>satelekomunikacio mowyobilobebi da aqsesuarebi</t>
  </si>
  <si>
    <t>dasufTaveba da sanitariuli momsaxureba</t>
  </si>
  <si>
    <t xml:space="preserve">               danarTi #1</t>
  </si>
  <si>
    <t>xili, bostneuli da monaTesave produqtebi</t>
  </si>
  <si>
    <r>
      <t xml:space="preserve"> kanonis  me-10</t>
    </r>
    <r>
      <rPr>
        <sz val="7"/>
        <rFont val="Calibri"/>
        <family val="2"/>
        <charset val="204"/>
      </rPr>
      <t>¹</t>
    </r>
    <r>
      <rPr>
        <sz val="7"/>
        <rFont val="AcadNusx"/>
      </rPr>
      <t xml:space="preserve"> muxlis me-3 punqtis "v" qvepunqti</t>
    </r>
  </si>
  <si>
    <t>sxvadasxva sakvebi produqtebi</t>
  </si>
  <si>
    <t>sasmelebi, Tambaqo da monaTesave produqtebi</t>
  </si>
  <si>
    <t>tansacmeli</t>
  </si>
  <si>
    <t>samkaulebi, saaTebi da monaTesave nivTebi</t>
  </si>
  <si>
    <t>rezinisa da plastmasis masalebi</t>
  </si>
  <si>
    <t>farmacevtuli produqtebi</t>
  </si>
  <si>
    <t>piradi higienis saSualebebi</t>
  </si>
  <si>
    <t>sapolicio mowyobilobebi</t>
  </si>
  <si>
    <t>fizikuri maxasiaTeblebis kontrolis xelsawyoebi</t>
  </si>
  <si>
    <t>qsovilis nivTebi</t>
  </si>
  <si>
    <t>danadgarebi meqanikuri energiis warmoebisa da gamoyenebisTvis</t>
  </si>
  <si>
    <t xml:space="preserve">samSeneblo masalebi da damxmare samSeneblo masalebi </t>
  </si>
  <si>
    <t>struqturuli masalebi</t>
  </si>
  <si>
    <t>kabelebi, mavTulebi da maTTan dakavSirebuli masalebi</t>
  </si>
  <si>
    <t>saRebavebi, laqebi da mastikebi</t>
  </si>
  <si>
    <t>samSeneblo-samontaJo samuSaoebi</t>
  </si>
  <si>
    <t>Senobis dasrulebis samuSaoebi</t>
  </si>
  <si>
    <t>tumboebis, sarqvelebis, onkanebisa da liTonis konteinerebis, aseve, manqana-danadgarebis SekeTeba da teqnikuri momsaxureba</t>
  </si>
  <si>
    <t>satelekomunikacio momsaxurebebi</t>
  </si>
  <si>
    <t>sabanko da sainvesticio momsaxurebebi</t>
  </si>
  <si>
    <t>laboratoriuli momsaxurebebi</t>
  </si>
  <si>
    <t xml:space="preserve">maT Soris 2018-2019 wlebis (mravalwliani) </t>
  </si>
  <si>
    <t>sxvadasxva komerciuli momsaxureba da masTan dakavSirebuli momsaxurebebi</t>
  </si>
  <si>
    <t xml:space="preserve">Camdinare wylebTan dakavSirebuli momsaxurebebi </t>
  </si>
  <si>
    <t xml:space="preserve">qalaqis an soflis zonebis dasufTaveba da sanitariuli momsaxureba, aseve maTTan dakavSirebuli momsaxurebebi </t>
  </si>
  <si>
    <t>sxvadasxva momsaxureba</t>
  </si>
  <si>
    <t xml:space="preserve">                  danarTi #1</t>
  </si>
  <si>
    <t xml:space="preserve">             saxelmwifo Sesyidvebis wliuri gegmis forma </t>
  </si>
  <si>
    <r>
      <t xml:space="preserve">4. dafinansebis wyaro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9"/>
        <rFont val="AcadNusx"/>
      </rPr>
      <t>granti (</t>
    </r>
    <r>
      <rPr>
        <b/>
        <sz val="9"/>
        <rFont val="Times New Roman"/>
        <family val="1"/>
      </rPr>
      <t>BTC Co</t>
    </r>
    <r>
      <rPr>
        <b/>
        <sz val="9"/>
        <rFont val="AcadNusx"/>
      </rPr>
      <t>) (</t>
    </r>
    <r>
      <rPr>
        <b/>
        <sz val="9"/>
        <rFont val="Times New Roman"/>
        <family val="1"/>
      </rPr>
      <t>SCP Co</t>
    </r>
    <r>
      <rPr>
        <b/>
        <sz val="9"/>
        <rFont val="AcadNusx"/>
      </rPr>
      <t>)                                                                                  (xelSekrulebis # 32) (registraciis #1254)</t>
    </r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</si>
  <si>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</si>
  <si>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r>
      <t xml:space="preserve">1. Sedgenis TariRi                                                                            </t>
    </r>
    <r>
      <rPr>
        <b/>
        <sz val="9"/>
        <rFont val="AcadNusx"/>
      </rPr>
      <t xml:space="preserve">                 26 dekemberi 2019 weli</t>
    </r>
  </si>
  <si>
    <t>radiotelefoniis, radiosatelegrafo, radio da telemauwyeblobis aparatura</t>
  </si>
  <si>
    <t xml:space="preserve">tele da radiosignalis mimRebebi da audio an videogamosaxulebis Camweri an aRwarmoebis aparatura </t>
  </si>
  <si>
    <t xml:space="preserve">finansuri departamentis, Sesyidvebis sammarTvelos ufrosi                                                                                        </t>
  </si>
  <si>
    <r>
      <t xml:space="preserve">4. dafinansebis wyaro                                                     </t>
    </r>
    <r>
      <rPr>
        <b/>
        <sz val="9"/>
        <rFont val="AcadNusx"/>
      </rPr>
      <t>sakuTari saxsrebi</t>
    </r>
  </si>
  <si>
    <t>sabargo nivTebi, sasarajo nakeTobebi, tomrebi da CanTebi</t>
  </si>
  <si>
    <t>tyavis, teqstilis, rezinisa da plastmasis narCeni</t>
  </si>
  <si>
    <t xml:space="preserve"> sxvadasxva nabeWdi masala</t>
  </si>
  <si>
    <t>akumulatorebi, denis pirveladi wyaroebi da pirveladi</t>
  </si>
  <si>
    <t>III kv</t>
  </si>
  <si>
    <t>samedicino mowyobilobebi</t>
  </si>
  <si>
    <t>bunebrivi wyali</t>
  </si>
  <si>
    <t>saqmiani garigebebisa da piradi saqmeebis marTvis programuli paketebi</t>
  </si>
  <si>
    <t xml:space="preserve">sasadiloebisa da sazogadoebrivi kvebis sawarmoebis momsaxureba  </t>
  </si>
  <si>
    <t>kanonis  me-10¹ muxlis me-3 punqtis "z" qvepunqti</t>
  </si>
  <si>
    <t>satreningo momsaxurebebi</t>
  </si>
  <si>
    <t>IV kv</t>
  </si>
  <si>
    <t xml:space="preserve">finansuri departamentis, Sesyidvebis sammarTvelos ufrosi                                                                                     </t>
  </si>
  <si>
    <r>
      <t xml:space="preserve">1. Sedgenis TariRi                                                                            </t>
    </r>
    <r>
      <rPr>
        <b/>
        <sz val="9"/>
        <rFont val="AcadNusx"/>
      </rPr>
      <t xml:space="preserve">                 25 noemberi 2019 weli</t>
    </r>
  </si>
  <si>
    <t>ofisis muSaobis uzrunvelyofasTan dakavSirebuli momsaxurebebi</t>
  </si>
  <si>
    <t xml:space="preserve">finansuri departamentis, Sesyidvebis sammarTvelos ufrosi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</si>
</sst>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0.0"/>
    <numFmt numFmtId="165" formatCode="0.000"/>
  </numFmts>
  <fonts count="28" x14ac:knownFonts="1">
    <font>
      <sz val="10"/>
      <name val="Arial"/>
      <charset val="204"/>
    </font>
    <font>
      <sz val="8"/>
      <name val="Arial"/>
      <family val="2"/>
      <charset val="204"/>
    </font>
    <font>
      <b/>
      <sz val="10"/>
      <name val="AcadNusx"/>
    </font>
    <font>
      <sz val="10"/>
      <name val="AcadNusx"/>
    </font>
    <font>
      <sz val="7"/>
      <name val="AcadNusx"/>
    </font>
    <font>
      <sz val="6"/>
      <name val="AcadNusx"/>
    </font>
    <font>
      <sz val="9"/>
      <name val="AcadNusx"/>
    </font>
    <font>
      <sz val="8"/>
      <name val="AcadNusx"/>
    </font>
    <font>
      <sz val="8"/>
      <name val="Times New Roman"/>
      <family val="1"/>
      <charset val="204"/>
    </font>
    <font>
      <sz val="10"/>
      <color rgb="FFFF0000"/>
      <name val="AcadNusx"/>
    </font>
    <font>
      <b/>
      <sz val="8"/>
      <name val="AcadNusx"/>
    </font>
    <font>
      <sz val="7"/>
      <name val="Calibri"/>
      <family val="2"/>
      <charset val="204"/>
    </font>
    <font>
      <b/>
      <sz val="12"/>
      <name val="AcadNusx"/>
    </font>
    <font>
      <sz val="10"/>
      <name val="Arial"/>
      <family val="2"/>
    </font>
    <font>
      <sz val="6"/>
      <color rgb="FFFF0000"/>
      <name val="AcadNusx"/>
    </font>
    <font>
      <sz val="8"/>
      <color rgb="FFFF0000"/>
      <name val="AcadNusx"/>
    </font>
    <font>
      <b/>
      <i/>
      <sz val="9"/>
      <name val="AcadNusx"/>
    </font>
    <font>
      <b/>
      <sz val="9"/>
      <name val="AcadNusx"/>
    </font>
    <font>
      <sz val="9"/>
      <name val="Arial"/>
      <family val="2"/>
    </font>
    <font>
      <b/>
      <sz val="9"/>
      <color rgb="FF00B050"/>
      <name val="AcadNusx"/>
    </font>
    <font>
      <b/>
      <sz val="9"/>
      <color rgb="FFFF0000"/>
      <name val="AcadNusx"/>
    </font>
    <font>
      <sz val="9"/>
      <color theme="1"/>
      <name val="AcadNusx"/>
    </font>
    <font>
      <b/>
      <sz val="14"/>
      <name val="AcadNusx"/>
    </font>
    <font>
      <b/>
      <sz val="9"/>
      <name val="Times New Roman"/>
      <family val="1"/>
    </font>
    <font>
      <sz val="8"/>
      <color rgb="FFFF0000"/>
      <name val="Times New Roman"/>
      <family val="1"/>
      <charset val="204"/>
    </font>
    <font>
      <b/>
      <sz val="10"/>
      <color rgb="FFFF0000"/>
      <name val="AcadNusx"/>
    </font>
    <font>
      <b/>
      <sz val="10"/>
      <color rgb="FF0070C0"/>
      <name val="AcadNusx"/>
    </font>
    <font>
      <b/>
      <sz val="10"/>
      <color rgb="FF00B050"/>
      <name val="AcadNusx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3" fillId="0" borderId="0" applyFont="0" applyFill="0" applyBorder="0" applyAlignment="0" applyProtection="0"/>
  </cellStyleXfs>
  <cellXfs count="93">
    <xf numFmtId="0" fontId="0" fillId="0" borderId="0" xfId="0"/>
    <xf numFmtId="164" fontId="3" fillId="0" borderId="0" xfId="1" applyNumberFormat="1" applyFont="1" applyFill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1" fontId="3" fillId="0" borderId="0" xfId="0" applyNumberFormat="1" applyFont="1" applyFill="1" applyBorder="1" applyAlignment="1">
      <alignment horizontal="center" vertical="center" wrapText="1"/>
    </xf>
    <xf numFmtId="1" fontId="12" fillId="0" borderId="0" xfId="1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164" fontId="7" fillId="0" borderId="0" xfId="1" applyNumberFormat="1" applyFont="1" applyFill="1" applyAlignment="1">
      <alignment vertical="center" wrapText="1"/>
    </xf>
    <xf numFmtId="0" fontId="10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15" fillId="0" borderId="0" xfId="0" applyFont="1" applyFill="1" applyAlignment="1">
      <alignment horizontal="center" vertical="center" wrapText="1"/>
    </xf>
    <xf numFmtId="1" fontId="6" fillId="0" borderId="1" xfId="1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16" fillId="0" borderId="0" xfId="0" applyFont="1" applyFill="1" applyAlignment="1">
      <alignment horizontal="center" vertical="center" wrapText="1"/>
    </xf>
    <xf numFmtId="164" fontId="6" fillId="0" borderId="1" xfId="1" applyNumberFormat="1" applyFont="1" applyFill="1" applyBorder="1" applyAlignment="1">
      <alignment horizontal="center" vertical="center" wrapText="1"/>
    </xf>
    <xf numFmtId="1" fontId="20" fillId="0" borderId="1" xfId="1" applyNumberFormat="1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1" fontId="6" fillId="0" borderId="1" xfId="0" applyNumberFormat="1" applyFont="1" applyFill="1" applyBorder="1" applyAlignment="1">
      <alignment horizontal="center" vertical="center"/>
    </xf>
    <xf numFmtId="1" fontId="21" fillId="0" borderId="1" xfId="1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1" fontId="3" fillId="0" borderId="0" xfId="0" applyNumberFormat="1" applyFont="1" applyFill="1" applyAlignment="1">
      <alignment horizontal="center" vertical="center" wrapText="1"/>
    </xf>
    <xf numFmtId="1" fontId="6" fillId="0" borderId="1" xfId="1" applyNumberFormat="1" applyFont="1" applyFill="1" applyBorder="1" applyAlignment="1">
      <alignment horizontal="center" vertical="center"/>
    </xf>
    <xf numFmtId="1" fontId="20" fillId="0" borderId="1" xfId="0" applyNumberFormat="1" applyFont="1" applyFill="1" applyBorder="1" applyAlignment="1">
      <alignment horizontal="center" vertical="center"/>
    </xf>
    <xf numFmtId="1" fontId="2" fillId="0" borderId="0" xfId="0" applyNumberFormat="1" applyFont="1" applyFill="1" applyAlignment="1">
      <alignment horizontal="center" vertical="center" wrapText="1"/>
    </xf>
    <xf numFmtId="2" fontId="6" fillId="0" borderId="1" xfId="1" applyNumberFormat="1" applyFont="1" applyFill="1" applyBorder="1" applyAlignment="1">
      <alignment horizontal="center" vertical="center" wrapText="1"/>
    </xf>
    <xf numFmtId="2" fontId="20" fillId="0" borderId="1" xfId="1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2" fontId="2" fillId="0" borderId="0" xfId="1" applyNumberFormat="1" applyFont="1" applyFill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1" fontId="24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2" fontId="2" fillId="0" borderId="0" xfId="1" applyNumberFormat="1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165" fontId="14" fillId="0" borderId="0" xfId="0" applyNumberFormat="1" applyFont="1" applyFill="1" applyBorder="1" applyAlignment="1">
      <alignment horizontal="center" vertical="center" wrapText="1"/>
    </xf>
    <xf numFmtId="2" fontId="7" fillId="0" borderId="0" xfId="0" applyNumberFormat="1" applyFont="1" applyFill="1" applyBorder="1" applyAlignment="1">
      <alignment horizontal="center" vertical="center" wrapText="1"/>
    </xf>
    <xf numFmtId="0" fontId="25" fillId="0" borderId="0" xfId="0" applyFont="1" applyFill="1" applyAlignment="1">
      <alignment horizontal="center" vertical="center" wrapText="1"/>
    </xf>
    <xf numFmtId="0" fontId="26" fillId="0" borderId="0" xfId="0" applyFont="1" applyFill="1" applyAlignment="1">
      <alignment horizontal="center" vertical="center" wrapText="1"/>
    </xf>
    <xf numFmtId="0" fontId="27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left" vertical="center" wrapText="1"/>
    </xf>
    <xf numFmtId="2" fontId="6" fillId="0" borderId="1" xfId="1" applyNumberFormat="1" applyFont="1" applyFill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3" fillId="0" borderId="0" xfId="1" applyNumberFormat="1" applyFont="1" applyFill="1" applyAlignment="1">
      <alignment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2" fontId="21" fillId="0" borderId="1" xfId="1" applyNumberFormat="1" applyFont="1" applyFill="1" applyBorder="1" applyAlignment="1">
      <alignment horizontal="center" vertical="center" wrapText="1"/>
    </xf>
    <xf numFmtId="2" fontId="22" fillId="0" borderId="0" xfId="1" applyNumberFormat="1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left" vertical="center" wrapText="1"/>
    </xf>
    <xf numFmtId="0" fontId="7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left" vertical="center" wrapText="1"/>
    </xf>
    <xf numFmtId="0" fontId="17" fillId="0" borderId="7" xfId="0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/>
    </xf>
    <xf numFmtId="0" fontId="18" fillId="0" borderId="6" xfId="0" applyFont="1" applyFill="1" applyBorder="1" applyAlignment="1">
      <alignment horizontal="center"/>
    </xf>
    <xf numFmtId="0" fontId="18" fillId="0" borderId="7" xfId="0" applyFont="1" applyFill="1" applyBorder="1" applyAlignment="1">
      <alignment horizontal="center"/>
    </xf>
    <xf numFmtId="0" fontId="18" fillId="0" borderId="8" xfId="0" applyFont="1" applyFill="1" applyBorder="1" applyAlignment="1">
      <alignment horizontal="center"/>
    </xf>
    <xf numFmtId="0" fontId="18" fillId="0" borderId="9" xfId="0" applyFont="1" applyFill="1" applyBorder="1" applyAlignment="1">
      <alignment horizontal="center"/>
    </xf>
    <xf numFmtId="2" fontId="2" fillId="0" borderId="3" xfId="0" applyNumberFormat="1" applyFont="1" applyFill="1" applyBorder="1" applyAlignment="1">
      <alignment horizontal="center" vertical="center" wrapText="1"/>
    </xf>
    <xf numFmtId="2" fontId="3" fillId="0" borderId="3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96</xdr:row>
      <xdr:rowOff>0</xdr:rowOff>
    </xdr:from>
    <xdr:to>
      <xdr:col>5</xdr:col>
      <xdr:colOff>981075</xdr:colOff>
      <xdr:row>96</xdr:row>
      <xdr:rowOff>0</xdr:rowOff>
    </xdr:to>
    <xdr:sp macro="" textlink="">
      <xdr:nvSpPr>
        <xdr:cNvPr id="2" name="Line 5"/>
        <xdr:cNvSpPr>
          <a:spLocks noChangeShapeType="1"/>
        </xdr:cNvSpPr>
      </xdr:nvSpPr>
      <xdr:spPr bwMode="auto">
        <a:xfrm>
          <a:off x="3305175" y="18507075"/>
          <a:ext cx="1390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103</xdr:row>
      <xdr:rowOff>9525</xdr:rowOff>
    </xdr:from>
    <xdr:to>
      <xdr:col>5</xdr:col>
      <xdr:colOff>981075</xdr:colOff>
      <xdr:row>103</xdr:row>
      <xdr:rowOff>9525</xdr:rowOff>
    </xdr:to>
    <xdr:sp macro="" textlink="">
      <xdr:nvSpPr>
        <xdr:cNvPr id="3" name="Line 6"/>
        <xdr:cNvSpPr>
          <a:spLocks noChangeShapeType="1"/>
        </xdr:cNvSpPr>
      </xdr:nvSpPr>
      <xdr:spPr bwMode="auto">
        <a:xfrm flipV="1">
          <a:off x="3314700" y="19450050"/>
          <a:ext cx="13811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96</xdr:row>
      <xdr:rowOff>9525</xdr:rowOff>
    </xdr:from>
    <xdr:to>
      <xdr:col>5</xdr:col>
      <xdr:colOff>971550</xdr:colOff>
      <xdr:row>96</xdr:row>
      <xdr:rowOff>9525</xdr:rowOff>
    </xdr:to>
    <xdr:sp macro="" textlink="">
      <xdr:nvSpPr>
        <xdr:cNvPr id="4" name="Line 6"/>
        <xdr:cNvSpPr>
          <a:spLocks noChangeShapeType="1"/>
        </xdr:cNvSpPr>
      </xdr:nvSpPr>
      <xdr:spPr bwMode="auto">
        <a:xfrm flipV="1">
          <a:off x="3314700" y="18516600"/>
          <a:ext cx="1371600" cy="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>
      <xdr:col>1</xdr:col>
      <xdr:colOff>98534</xdr:colOff>
      <xdr:row>1</xdr:row>
      <xdr:rowOff>229913</xdr:rowOff>
    </xdr:from>
    <xdr:to>
      <xdr:col>2</xdr:col>
      <xdr:colOff>372718</xdr:colOff>
      <xdr:row>4</xdr:row>
      <xdr:rowOff>229342</xdr:rowOff>
    </xdr:to>
    <xdr:pic>
      <xdr:nvPicPr>
        <xdr:cNvPr id="5" name="Picture 4" descr="Logo - winner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4724" y="459827"/>
          <a:ext cx="944218" cy="88623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0</xdr:colOff>
      <xdr:row>103</xdr:row>
      <xdr:rowOff>0</xdr:rowOff>
    </xdr:from>
    <xdr:to>
      <xdr:col>5</xdr:col>
      <xdr:colOff>981075</xdr:colOff>
      <xdr:row>103</xdr:row>
      <xdr:rowOff>0</xdr:rowOff>
    </xdr:to>
    <xdr:sp macro="" textlink="">
      <xdr:nvSpPr>
        <xdr:cNvPr id="6" name="Line 5"/>
        <xdr:cNvSpPr>
          <a:spLocks noChangeShapeType="1"/>
        </xdr:cNvSpPr>
      </xdr:nvSpPr>
      <xdr:spPr bwMode="auto">
        <a:xfrm>
          <a:off x="4629150" y="39547800"/>
          <a:ext cx="2409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110</xdr:row>
      <xdr:rowOff>9525</xdr:rowOff>
    </xdr:from>
    <xdr:to>
      <xdr:col>5</xdr:col>
      <xdr:colOff>981075</xdr:colOff>
      <xdr:row>110</xdr:row>
      <xdr:rowOff>9525</xdr:rowOff>
    </xdr:to>
    <xdr:sp macro="" textlink="">
      <xdr:nvSpPr>
        <xdr:cNvPr id="7" name="Line 6"/>
        <xdr:cNvSpPr>
          <a:spLocks noChangeShapeType="1"/>
        </xdr:cNvSpPr>
      </xdr:nvSpPr>
      <xdr:spPr bwMode="auto">
        <a:xfrm flipV="1">
          <a:off x="4629150" y="40957500"/>
          <a:ext cx="2409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103</xdr:row>
      <xdr:rowOff>9525</xdr:rowOff>
    </xdr:from>
    <xdr:to>
      <xdr:col>5</xdr:col>
      <xdr:colOff>971550</xdr:colOff>
      <xdr:row>103</xdr:row>
      <xdr:rowOff>9525</xdr:rowOff>
    </xdr:to>
    <xdr:sp macro="" textlink="">
      <xdr:nvSpPr>
        <xdr:cNvPr id="8" name="Line 6"/>
        <xdr:cNvSpPr>
          <a:spLocks noChangeShapeType="1"/>
        </xdr:cNvSpPr>
      </xdr:nvSpPr>
      <xdr:spPr bwMode="auto">
        <a:xfrm flipV="1">
          <a:off x="4629150" y="39557325"/>
          <a:ext cx="2409825" cy="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80</xdr:row>
      <xdr:rowOff>0</xdr:rowOff>
    </xdr:from>
    <xdr:to>
      <xdr:col>5</xdr:col>
      <xdr:colOff>981075</xdr:colOff>
      <xdr:row>80</xdr:row>
      <xdr:rowOff>0</xdr:rowOff>
    </xdr:to>
    <xdr:sp macro="" textlink="">
      <xdr:nvSpPr>
        <xdr:cNvPr id="2" name="Line 5"/>
        <xdr:cNvSpPr>
          <a:spLocks noChangeShapeType="1"/>
        </xdr:cNvSpPr>
      </xdr:nvSpPr>
      <xdr:spPr bwMode="auto">
        <a:xfrm>
          <a:off x="4505325" y="39595425"/>
          <a:ext cx="22574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85</xdr:row>
      <xdr:rowOff>9525</xdr:rowOff>
    </xdr:from>
    <xdr:to>
      <xdr:col>5</xdr:col>
      <xdr:colOff>981075</xdr:colOff>
      <xdr:row>85</xdr:row>
      <xdr:rowOff>9525</xdr:rowOff>
    </xdr:to>
    <xdr:sp macro="" textlink="">
      <xdr:nvSpPr>
        <xdr:cNvPr id="3" name="Line 6"/>
        <xdr:cNvSpPr>
          <a:spLocks noChangeShapeType="1"/>
        </xdr:cNvSpPr>
      </xdr:nvSpPr>
      <xdr:spPr bwMode="auto">
        <a:xfrm flipV="1">
          <a:off x="4505325" y="41890950"/>
          <a:ext cx="22574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80</xdr:row>
      <xdr:rowOff>9525</xdr:rowOff>
    </xdr:from>
    <xdr:to>
      <xdr:col>5</xdr:col>
      <xdr:colOff>971550</xdr:colOff>
      <xdr:row>80</xdr:row>
      <xdr:rowOff>9525</xdr:rowOff>
    </xdr:to>
    <xdr:sp macro="" textlink="">
      <xdr:nvSpPr>
        <xdr:cNvPr id="4" name="Line 6"/>
        <xdr:cNvSpPr>
          <a:spLocks noChangeShapeType="1"/>
        </xdr:cNvSpPr>
      </xdr:nvSpPr>
      <xdr:spPr bwMode="auto">
        <a:xfrm flipV="1">
          <a:off x="4505325" y="39604950"/>
          <a:ext cx="2257425" cy="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>
      <xdr:col>1</xdr:col>
      <xdr:colOff>29308</xdr:colOff>
      <xdr:row>1</xdr:row>
      <xdr:rowOff>124558</xdr:rowOff>
    </xdr:from>
    <xdr:to>
      <xdr:col>2</xdr:col>
      <xdr:colOff>306776</xdr:colOff>
      <xdr:row>4</xdr:row>
      <xdr:rowOff>124240</xdr:rowOff>
    </xdr:to>
    <xdr:pic>
      <xdr:nvPicPr>
        <xdr:cNvPr id="5" name="Picture 4" descr="Logo - winner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351693"/>
          <a:ext cx="944218" cy="88623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0</xdr:colOff>
      <xdr:row>94</xdr:row>
      <xdr:rowOff>0</xdr:rowOff>
    </xdr:from>
    <xdr:to>
      <xdr:col>5</xdr:col>
      <xdr:colOff>981075</xdr:colOff>
      <xdr:row>94</xdr:row>
      <xdr:rowOff>0</xdr:rowOff>
    </xdr:to>
    <xdr:sp macro="" textlink="">
      <xdr:nvSpPr>
        <xdr:cNvPr id="6" name="Line 5"/>
        <xdr:cNvSpPr>
          <a:spLocks noChangeShapeType="1"/>
        </xdr:cNvSpPr>
      </xdr:nvSpPr>
      <xdr:spPr bwMode="auto">
        <a:xfrm>
          <a:off x="4505325" y="46034325"/>
          <a:ext cx="2314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99</xdr:row>
      <xdr:rowOff>9525</xdr:rowOff>
    </xdr:from>
    <xdr:to>
      <xdr:col>5</xdr:col>
      <xdr:colOff>981075</xdr:colOff>
      <xdr:row>99</xdr:row>
      <xdr:rowOff>9525</xdr:rowOff>
    </xdr:to>
    <xdr:sp macro="" textlink="">
      <xdr:nvSpPr>
        <xdr:cNvPr id="7" name="Line 6"/>
        <xdr:cNvSpPr>
          <a:spLocks noChangeShapeType="1"/>
        </xdr:cNvSpPr>
      </xdr:nvSpPr>
      <xdr:spPr bwMode="auto">
        <a:xfrm flipV="1">
          <a:off x="4505325" y="47424975"/>
          <a:ext cx="2314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94</xdr:row>
      <xdr:rowOff>9525</xdr:rowOff>
    </xdr:from>
    <xdr:to>
      <xdr:col>5</xdr:col>
      <xdr:colOff>971550</xdr:colOff>
      <xdr:row>94</xdr:row>
      <xdr:rowOff>9525</xdr:rowOff>
    </xdr:to>
    <xdr:sp macro="" textlink="">
      <xdr:nvSpPr>
        <xdr:cNvPr id="8" name="Line 6"/>
        <xdr:cNvSpPr>
          <a:spLocks noChangeShapeType="1"/>
        </xdr:cNvSpPr>
      </xdr:nvSpPr>
      <xdr:spPr bwMode="auto">
        <a:xfrm flipV="1">
          <a:off x="4505325" y="46043850"/>
          <a:ext cx="2314575" cy="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619125</xdr:colOff>
      <xdr:row>25</xdr:row>
      <xdr:rowOff>0</xdr:rowOff>
    </xdr:from>
    <xdr:to>
      <xdr:col>5</xdr:col>
      <xdr:colOff>981075</xdr:colOff>
      <xdr:row>25</xdr:row>
      <xdr:rowOff>0</xdr:rowOff>
    </xdr:to>
    <xdr:sp macro="" textlink="">
      <xdr:nvSpPr>
        <xdr:cNvPr id="2" name="Line 5"/>
        <xdr:cNvSpPr>
          <a:spLocks noChangeShapeType="1"/>
        </xdr:cNvSpPr>
      </xdr:nvSpPr>
      <xdr:spPr bwMode="auto">
        <a:xfrm>
          <a:off x="5124450" y="11096625"/>
          <a:ext cx="1638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628650</xdr:colOff>
      <xdr:row>30</xdr:row>
      <xdr:rowOff>9525</xdr:rowOff>
    </xdr:from>
    <xdr:to>
      <xdr:col>5</xdr:col>
      <xdr:colOff>981075</xdr:colOff>
      <xdr:row>30</xdr:row>
      <xdr:rowOff>9525</xdr:rowOff>
    </xdr:to>
    <xdr:sp macro="" textlink="">
      <xdr:nvSpPr>
        <xdr:cNvPr id="3" name="Line 6"/>
        <xdr:cNvSpPr>
          <a:spLocks noChangeShapeType="1"/>
        </xdr:cNvSpPr>
      </xdr:nvSpPr>
      <xdr:spPr bwMode="auto">
        <a:xfrm flipV="1">
          <a:off x="5133975" y="13354050"/>
          <a:ext cx="16287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628650</xdr:colOff>
      <xdr:row>25</xdr:row>
      <xdr:rowOff>9525</xdr:rowOff>
    </xdr:from>
    <xdr:to>
      <xdr:col>5</xdr:col>
      <xdr:colOff>971550</xdr:colOff>
      <xdr:row>25</xdr:row>
      <xdr:rowOff>9525</xdr:rowOff>
    </xdr:to>
    <xdr:sp macro="" textlink="">
      <xdr:nvSpPr>
        <xdr:cNvPr id="4" name="Line 6"/>
        <xdr:cNvSpPr>
          <a:spLocks noChangeShapeType="1"/>
        </xdr:cNvSpPr>
      </xdr:nvSpPr>
      <xdr:spPr bwMode="auto">
        <a:xfrm flipV="1">
          <a:off x="5133975" y="11106150"/>
          <a:ext cx="1628775" cy="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>
      <xdr:col>1</xdr:col>
      <xdr:colOff>80596</xdr:colOff>
      <xdr:row>0</xdr:row>
      <xdr:rowOff>205154</xdr:rowOff>
    </xdr:from>
    <xdr:to>
      <xdr:col>2</xdr:col>
      <xdr:colOff>358064</xdr:colOff>
      <xdr:row>4</xdr:row>
      <xdr:rowOff>102258</xdr:rowOff>
    </xdr:to>
    <xdr:pic>
      <xdr:nvPicPr>
        <xdr:cNvPr id="5" name="Picture 4" descr="Logo - winner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7038" y="205154"/>
          <a:ext cx="944218" cy="88623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619125</xdr:colOff>
      <xdr:row>23</xdr:row>
      <xdr:rowOff>0</xdr:rowOff>
    </xdr:from>
    <xdr:to>
      <xdr:col>5</xdr:col>
      <xdr:colOff>981075</xdr:colOff>
      <xdr:row>23</xdr:row>
      <xdr:rowOff>0</xdr:rowOff>
    </xdr:to>
    <xdr:sp macro="" textlink="">
      <xdr:nvSpPr>
        <xdr:cNvPr id="6" name="Line 5"/>
        <xdr:cNvSpPr>
          <a:spLocks noChangeShapeType="1"/>
        </xdr:cNvSpPr>
      </xdr:nvSpPr>
      <xdr:spPr bwMode="auto">
        <a:xfrm>
          <a:off x="5124450" y="9867900"/>
          <a:ext cx="1638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628650</xdr:colOff>
      <xdr:row>28</xdr:row>
      <xdr:rowOff>9525</xdr:rowOff>
    </xdr:from>
    <xdr:to>
      <xdr:col>5</xdr:col>
      <xdr:colOff>981075</xdr:colOff>
      <xdr:row>28</xdr:row>
      <xdr:rowOff>9525</xdr:rowOff>
    </xdr:to>
    <xdr:sp macro="" textlink="">
      <xdr:nvSpPr>
        <xdr:cNvPr id="7" name="Line 6"/>
        <xdr:cNvSpPr>
          <a:spLocks noChangeShapeType="1"/>
        </xdr:cNvSpPr>
      </xdr:nvSpPr>
      <xdr:spPr bwMode="auto">
        <a:xfrm flipV="1">
          <a:off x="5133975" y="11144250"/>
          <a:ext cx="16287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628650</xdr:colOff>
      <xdr:row>23</xdr:row>
      <xdr:rowOff>9525</xdr:rowOff>
    </xdr:from>
    <xdr:to>
      <xdr:col>5</xdr:col>
      <xdr:colOff>971550</xdr:colOff>
      <xdr:row>23</xdr:row>
      <xdr:rowOff>9525</xdr:rowOff>
    </xdr:to>
    <xdr:sp macro="" textlink="">
      <xdr:nvSpPr>
        <xdr:cNvPr id="8" name="Line 6"/>
        <xdr:cNvSpPr>
          <a:spLocks noChangeShapeType="1"/>
        </xdr:cNvSpPr>
      </xdr:nvSpPr>
      <xdr:spPr bwMode="auto">
        <a:xfrm flipV="1">
          <a:off x="5133975" y="9877425"/>
          <a:ext cx="1628775" cy="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9"/>
  <sheetViews>
    <sheetView tabSelected="1" view="pageBreakPreview" zoomScale="130" zoomScaleNormal="145" zoomScaleSheetLayoutView="130" workbookViewId="0">
      <selection activeCell="E17" sqref="E17"/>
    </sheetView>
  </sheetViews>
  <sheetFormatPr defaultRowHeight="13.5" x14ac:dyDescent="0.2"/>
  <cols>
    <col min="1" max="1" width="3.85546875" style="49" customWidth="1"/>
    <col min="2" max="2" width="10" style="49" customWidth="1"/>
    <col min="3" max="3" width="55.5703125" style="24" customWidth="1"/>
    <col min="4" max="4" width="11.42578125" style="1" customWidth="1"/>
    <col min="5" max="5" width="12.28515625" style="24" bestFit="1" customWidth="1"/>
    <col min="6" max="6" width="12.42578125" style="24" bestFit="1" customWidth="1"/>
    <col min="7" max="7" width="10.7109375" style="24" customWidth="1"/>
    <col min="8" max="8" width="28.85546875" style="24" customWidth="1"/>
    <col min="9" max="16384" width="9.140625" style="24"/>
  </cols>
  <sheetData>
    <row r="1" spans="1:8" ht="18" customHeight="1" x14ac:dyDescent="0.2"/>
    <row r="2" spans="1:8" s="11" customFormat="1" ht="23.25" customHeight="1" x14ac:dyDescent="0.2">
      <c r="A2" s="24"/>
      <c r="B2" s="24"/>
      <c r="C2" s="24"/>
      <c r="D2" s="1"/>
      <c r="E2" s="24"/>
      <c r="F2" s="24"/>
      <c r="G2" s="24"/>
      <c r="H2" s="18" t="s">
        <v>42</v>
      </c>
    </row>
    <row r="3" spans="1:8" s="11" customFormat="1" ht="20.25" customHeight="1" x14ac:dyDescent="0.2">
      <c r="A3" s="24"/>
      <c r="B3" s="24"/>
      <c r="C3" s="70" t="s">
        <v>27</v>
      </c>
      <c r="D3" s="70"/>
      <c r="E3" s="70"/>
      <c r="F3" s="70"/>
      <c r="G3" s="70"/>
      <c r="H3" s="24"/>
    </row>
    <row r="4" spans="1:8" s="11" customFormat="1" ht="26.25" customHeight="1" x14ac:dyDescent="0.2">
      <c r="A4" s="71" t="s">
        <v>125</v>
      </c>
      <c r="B4" s="72"/>
      <c r="C4" s="72"/>
      <c r="D4" s="72"/>
      <c r="E4" s="73"/>
      <c r="F4" s="77" t="s">
        <v>7</v>
      </c>
      <c r="G4" s="78"/>
      <c r="H4" s="79"/>
    </row>
    <row r="5" spans="1:8" s="11" customFormat="1" ht="18.75" customHeight="1" x14ac:dyDescent="0.2">
      <c r="A5" s="74"/>
      <c r="B5" s="75"/>
      <c r="C5" s="75"/>
      <c r="D5" s="75"/>
      <c r="E5" s="76"/>
      <c r="F5" s="80">
        <v>204578581</v>
      </c>
      <c r="G5" s="81"/>
      <c r="H5" s="82"/>
    </row>
    <row r="6" spans="1:8" s="11" customFormat="1" ht="22.5" customHeight="1" x14ac:dyDescent="0.2">
      <c r="A6" s="71" t="s">
        <v>8</v>
      </c>
      <c r="B6" s="72"/>
      <c r="C6" s="72"/>
      <c r="D6" s="72"/>
      <c r="E6" s="73"/>
      <c r="F6" s="71" t="s">
        <v>56</v>
      </c>
      <c r="G6" s="83"/>
      <c r="H6" s="84"/>
    </row>
    <row r="7" spans="1:8" s="11" customFormat="1" ht="21.75" customHeight="1" x14ac:dyDescent="0.2">
      <c r="A7" s="80" t="s">
        <v>21</v>
      </c>
      <c r="B7" s="81"/>
      <c r="C7" s="81"/>
      <c r="D7" s="81"/>
      <c r="E7" s="82"/>
      <c r="F7" s="85"/>
      <c r="G7" s="86"/>
      <c r="H7" s="87"/>
    </row>
    <row r="8" spans="1:8" s="11" customFormat="1" ht="21" customHeight="1" x14ac:dyDescent="0.2">
      <c r="A8" s="71" t="s">
        <v>15</v>
      </c>
      <c r="B8" s="72"/>
      <c r="C8" s="72"/>
      <c r="D8" s="72"/>
      <c r="E8" s="72"/>
      <c r="F8" s="72"/>
      <c r="G8" s="72"/>
      <c r="H8" s="73"/>
    </row>
    <row r="9" spans="1:8" s="13" customFormat="1" ht="15.75" customHeight="1" x14ac:dyDescent="0.2">
      <c r="A9" s="88">
        <f>6553500-90458.45</f>
        <v>6463041.5499999998</v>
      </c>
      <c r="B9" s="89"/>
      <c r="C9" s="89"/>
      <c r="D9" s="89"/>
      <c r="E9" s="89"/>
      <c r="F9" s="89"/>
      <c r="G9" s="89"/>
      <c r="H9" s="89"/>
    </row>
    <row r="10" spans="1:8" s="13" customFormat="1" ht="71.25" customHeight="1" x14ac:dyDescent="0.2">
      <c r="A10" s="43" t="s">
        <v>1</v>
      </c>
      <c r="B10" s="43" t="s">
        <v>2</v>
      </c>
      <c r="C10" s="43" t="s">
        <v>3</v>
      </c>
      <c r="D10" s="19" t="s">
        <v>40</v>
      </c>
      <c r="E10" s="43" t="s">
        <v>4</v>
      </c>
      <c r="F10" s="43" t="s">
        <v>5</v>
      </c>
      <c r="G10" s="43" t="s">
        <v>6</v>
      </c>
      <c r="H10" s="43" t="s">
        <v>0</v>
      </c>
    </row>
    <row r="11" spans="1:8" s="13" customFormat="1" ht="15" customHeight="1" x14ac:dyDescent="0.2">
      <c r="A11" s="43">
        <v>1</v>
      </c>
      <c r="B11" s="43">
        <v>2</v>
      </c>
      <c r="C11" s="43">
        <v>3</v>
      </c>
      <c r="D11" s="14">
        <v>4</v>
      </c>
      <c r="E11" s="43">
        <v>5</v>
      </c>
      <c r="F11" s="43">
        <v>6</v>
      </c>
      <c r="G11" s="43">
        <v>7</v>
      </c>
      <c r="H11" s="43">
        <v>8</v>
      </c>
    </row>
    <row r="12" spans="1:8" ht="33.75" customHeight="1" x14ac:dyDescent="0.2">
      <c r="A12" s="43">
        <v>1</v>
      </c>
      <c r="B12" s="15" t="s">
        <v>86</v>
      </c>
      <c r="C12" s="43" t="s">
        <v>87</v>
      </c>
      <c r="D12" s="14">
        <v>915</v>
      </c>
      <c r="E12" s="43" t="s">
        <v>10</v>
      </c>
      <c r="F12" s="15" t="s">
        <v>12</v>
      </c>
      <c r="G12" s="15" t="s">
        <v>25</v>
      </c>
      <c r="H12" s="16"/>
    </row>
    <row r="13" spans="1:8" ht="33" customHeight="1" x14ac:dyDescent="0.2">
      <c r="A13" s="43">
        <v>2</v>
      </c>
      <c r="B13" s="66" t="s">
        <v>36</v>
      </c>
      <c r="C13" s="64" t="s">
        <v>37</v>
      </c>
      <c r="D13" s="29">
        <f>1081024.88+7345</f>
        <v>1088369.8799999999</v>
      </c>
      <c r="E13" s="43" t="s">
        <v>14</v>
      </c>
      <c r="F13" s="15" t="s">
        <v>12</v>
      </c>
      <c r="G13" s="15" t="s">
        <v>25</v>
      </c>
      <c r="H13" s="16" t="s">
        <v>13</v>
      </c>
    </row>
    <row r="14" spans="1:8" ht="30" customHeight="1" x14ac:dyDescent="0.2">
      <c r="A14" s="43">
        <v>3</v>
      </c>
      <c r="B14" s="67"/>
      <c r="C14" s="65"/>
      <c r="D14" s="14">
        <f>18300-1345</f>
        <v>16955</v>
      </c>
      <c r="E14" s="43" t="s">
        <v>10</v>
      </c>
      <c r="F14" s="15" t="s">
        <v>12</v>
      </c>
      <c r="G14" s="15" t="s">
        <v>25</v>
      </c>
      <c r="H14" s="16"/>
    </row>
    <row r="15" spans="1:8" ht="26.25" customHeight="1" x14ac:dyDescent="0.2">
      <c r="A15" s="43">
        <v>4</v>
      </c>
      <c r="B15" s="68" t="s">
        <v>65</v>
      </c>
      <c r="C15" s="61" t="s">
        <v>66</v>
      </c>
      <c r="D15" s="29">
        <f>25781.55-573.3</f>
        <v>25208.25</v>
      </c>
      <c r="E15" s="43" t="s">
        <v>14</v>
      </c>
      <c r="F15" s="15" t="s">
        <v>12</v>
      </c>
      <c r="G15" s="15" t="s">
        <v>25</v>
      </c>
      <c r="H15" s="16" t="s">
        <v>13</v>
      </c>
    </row>
    <row r="16" spans="1:8" ht="30" customHeight="1" x14ac:dyDescent="0.2">
      <c r="A16" s="43">
        <v>5</v>
      </c>
      <c r="B16" s="68"/>
      <c r="C16" s="61"/>
      <c r="D16" s="14">
        <f>4950-480</f>
        <v>4470</v>
      </c>
      <c r="E16" s="43" t="s">
        <v>10</v>
      </c>
      <c r="F16" s="15" t="s">
        <v>12</v>
      </c>
      <c r="G16" s="15" t="s">
        <v>25</v>
      </c>
      <c r="H16" s="16"/>
    </row>
    <row r="17" spans="1:8" s="12" customFormat="1" ht="30.75" customHeight="1" x14ac:dyDescent="0.2">
      <c r="A17" s="43">
        <v>7</v>
      </c>
      <c r="B17" s="43">
        <v>18200000</v>
      </c>
      <c r="C17" s="43" t="s">
        <v>81</v>
      </c>
      <c r="D17" s="14">
        <f>4000-3180</f>
        <v>820</v>
      </c>
      <c r="E17" s="43" t="s">
        <v>10</v>
      </c>
      <c r="F17" s="15" t="s">
        <v>12</v>
      </c>
      <c r="G17" s="15" t="s">
        <v>25</v>
      </c>
      <c r="H17" s="43"/>
    </row>
    <row r="18" spans="1:8" ht="39" customHeight="1" x14ac:dyDescent="0.2">
      <c r="A18" s="43">
        <v>8</v>
      </c>
      <c r="B18" s="43">
        <v>18400000</v>
      </c>
      <c r="C18" s="43" t="s">
        <v>71</v>
      </c>
      <c r="D18" s="14">
        <f>177000+136880</f>
        <v>313880</v>
      </c>
      <c r="E18" s="43" t="s">
        <v>26</v>
      </c>
      <c r="F18" s="15" t="s">
        <v>12</v>
      </c>
      <c r="G18" s="15" t="s">
        <v>25</v>
      </c>
      <c r="H18" s="16"/>
    </row>
    <row r="19" spans="1:8" ht="39" customHeight="1" x14ac:dyDescent="0.2">
      <c r="A19" s="43">
        <v>9</v>
      </c>
      <c r="B19" s="47">
        <v>18500000</v>
      </c>
      <c r="C19" s="47" t="s">
        <v>98</v>
      </c>
      <c r="D19" s="14">
        <f>2200+2796</f>
        <v>4996</v>
      </c>
      <c r="E19" s="43" t="s">
        <v>10</v>
      </c>
      <c r="F19" s="15" t="s">
        <v>12</v>
      </c>
      <c r="G19" s="15" t="s">
        <v>25</v>
      </c>
      <c r="H19" s="16"/>
    </row>
    <row r="20" spans="1:8" ht="27.75" customHeight="1" x14ac:dyDescent="0.2">
      <c r="A20" s="43">
        <v>10</v>
      </c>
      <c r="B20" s="43">
        <v>18800000</v>
      </c>
      <c r="C20" s="43" t="s">
        <v>72</v>
      </c>
      <c r="D20" s="14">
        <f>52708+52000</f>
        <v>104708</v>
      </c>
      <c r="E20" s="43" t="s">
        <v>26</v>
      </c>
      <c r="F20" s="15" t="s">
        <v>12</v>
      </c>
      <c r="G20" s="15" t="s">
        <v>25</v>
      </c>
      <c r="H20" s="16"/>
    </row>
    <row r="21" spans="1:8" s="12" customFormat="1" ht="30.75" customHeight="1" x14ac:dyDescent="0.2">
      <c r="A21" s="43">
        <v>11</v>
      </c>
      <c r="B21" s="43">
        <v>22200000</v>
      </c>
      <c r="C21" s="43" t="s">
        <v>35</v>
      </c>
      <c r="D21" s="29">
        <f>1764.8-1120</f>
        <v>644.79999999999995</v>
      </c>
      <c r="E21" s="43" t="s">
        <v>10</v>
      </c>
      <c r="F21" s="15" t="s">
        <v>12</v>
      </c>
      <c r="G21" s="15" t="s">
        <v>25</v>
      </c>
      <c r="H21" s="43"/>
    </row>
    <row r="22" spans="1:8" ht="38.25" customHeight="1" x14ac:dyDescent="0.2">
      <c r="A22" s="43">
        <v>12</v>
      </c>
      <c r="B22" s="43">
        <v>22400000</v>
      </c>
      <c r="C22" s="43" t="s">
        <v>44</v>
      </c>
      <c r="D22" s="14">
        <f>1000-1000</f>
        <v>0</v>
      </c>
      <c r="E22" s="43" t="s">
        <v>26</v>
      </c>
      <c r="F22" s="15" t="s">
        <v>12</v>
      </c>
      <c r="G22" s="15" t="s">
        <v>25</v>
      </c>
      <c r="H22" s="16"/>
    </row>
    <row r="23" spans="1:8" ht="50.25" customHeight="1" x14ac:dyDescent="0.2">
      <c r="A23" s="43">
        <v>13</v>
      </c>
      <c r="B23" s="43">
        <v>22800000</v>
      </c>
      <c r="C23" s="43" t="s">
        <v>43</v>
      </c>
      <c r="D23" s="29">
        <f>7130-2.8</f>
        <v>7127.2</v>
      </c>
      <c r="E23" s="43" t="s">
        <v>26</v>
      </c>
      <c r="F23" s="15" t="s">
        <v>12</v>
      </c>
      <c r="G23" s="15" t="s">
        <v>25</v>
      </c>
      <c r="H23" s="16"/>
    </row>
    <row r="24" spans="1:8" ht="33" customHeight="1" x14ac:dyDescent="0.2">
      <c r="A24" s="43">
        <v>14</v>
      </c>
      <c r="B24" s="44">
        <v>24400000</v>
      </c>
      <c r="C24" s="43" t="s">
        <v>78</v>
      </c>
      <c r="D24" s="14">
        <f>4000-747</f>
        <v>3253</v>
      </c>
      <c r="E24" s="43" t="s">
        <v>10</v>
      </c>
      <c r="F24" s="15" t="s">
        <v>12</v>
      </c>
      <c r="G24" s="15" t="s">
        <v>25</v>
      </c>
      <c r="H24" s="16"/>
    </row>
    <row r="25" spans="1:8" ht="33.75" customHeight="1" x14ac:dyDescent="0.2">
      <c r="A25" s="43">
        <v>15</v>
      </c>
      <c r="B25" s="61">
        <v>30100000</v>
      </c>
      <c r="C25" s="61" t="s">
        <v>22</v>
      </c>
      <c r="D25" s="26">
        <f>23200-3848</f>
        <v>19352</v>
      </c>
      <c r="E25" s="43" t="s">
        <v>26</v>
      </c>
      <c r="F25" s="15" t="s">
        <v>12</v>
      </c>
      <c r="G25" s="15" t="s">
        <v>25</v>
      </c>
      <c r="H25" s="17"/>
    </row>
    <row r="26" spans="1:8" ht="30" customHeight="1" x14ac:dyDescent="0.2">
      <c r="A26" s="43">
        <v>16</v>
      </c>
      <c r="B26" s="61"/>
      <c r="C26" s="61"/>
      <c r="D26" s="52">
        <f>22630-16.06</f>
        <v>22613.94</v>
      </c>
      <c r="E26" s="43" t="s">
        <v>14</v>
      </c>
      <c r="F26" s="15" t="s">
        <v>12</v>
      </c>
      <c r="G26" s="15" t="s">
        <v>25</v>
      </c>
      <c r="H26" s="16" t="s">
        <v>13</v>
      </c>
    </row>
    <row r="27" spans="1:8" ht="27" customHeight="1" x14ac:dyDescent="0.2">
      <c r="A27" s="43">
        <v>17</v>
      </c>
      <c r="B27" s="61">
        <v>30200000</v>
      </c>
      <c r="C27" s="61" t="s">
        <v>52</v>
      </c>
      <c r="D27" s="27">
        <f>43600+16069</f>
        <v>59669</v>
      </c>
      <c r="E27" s="43" t="s">
        <v>14</v>
      </c>
      <c r="F27" s="15" t="s">
        <v>12</v>
      </c>
      <c r="G27" s="15" t="s">
        <v>25</v>
      </c>
      <c r="H27" s="16" t="s">
        <v>13</v>
      </c>
    </row>
    <row r="28" spans="1:8" ht="27" customHeight="1" x14ac:dyDescent="0.2">
      <c r="A28" s="43">
        <v>18</v>
      </c>
      <c r="B28" s="61"/>
      <c r="C28" s="61"/>
      <c r="D28" s="53">
        <f>5000-289.2</f>
        <v>4710.8</v>
      </c>
      <c r="E28" s="43" t="s">
        <v>14</v>
      </c>
      <c r="F28" s="15" t="s">
        <v>12</v>
      </c>
      <c r="G28" s="15" t="s">
        <v>25</v>
      </c>
      <c r="H28" s="16" t="s">
        <v>13</v>
      </c>
    </row>
    <row r="29" spans="1:8" ht="27" customHeight="1" x14ac:dyDescent="0.2">
      <c r="A29" s="43">
        <v>19</v>
      </c>
      <c r="B29" s="43">
        <v>31200000</v>
      </c>
      <c r="C29" s="43" t="s">
        <v>70</v>
      </c>
      <c r="D29" s="14">
        <f>1500-678</f>
        <v>822</v>
      </c>
      <c r="E29" s="43" t="s">
        <v>10</v>
      </c>
      <c r="F29" s="15" t="s">
        <v>12</v>
      </c>
      <c r="G29" s="15" t="s">
        <v>25</v>
      </c>
      <c r="H29" s="16"/>
    </row>
    <row r="30" spans="1:8" ht="27" customHeight="1" x14ac:dyDescent="0.2">
      <c r="A30" s="43">
        <v>20</v>
      </c>
      <c r="B30" s="43">
        <v>31300000</v>
      </c>
      <c r="C30" s="43" t="s">
        <v>80</v>
      </c>
      <c r="D30" s="29">
        <f>800-299.2</f>
        <v>500.8</v>
      </c>
      <c r="E30" s="43" t="s">
        <v>10</v>
      </c>
      <c r="F30" s="15" t="s">
        <v>12</v>
      </c>
      <c r="G30" s="15" t="s">
        <v>25</v>
      </c>
      <c r="H30" s="16"/>
    </row>
    <row r="31" spans="1:8" ht="26.25" customHeight="1" x14ac:dyDescent="0.2">
      <c r="A31" s="43">
        <v>21</v>
      </c>
      <c r="B31" s="61">
        <v>31400000</v>
      </c>
      <c r="C31" s="61" t="s">
        <v>30</v>
      </c>
      <c r="D31" s="14">
        <f>16962-8000</f>
        <v>8962</v>
      </c>
      <c r="E31" s="43" t="s">
        <v>14</v>
      </c>
      <c r="F31" s="15" t="s">
        <v>12</v>
      </c>
      <c r="G31" s="15" t="s">
        <v>25</v>
      </c>
      <c r="H31" s="16" t="s">
        <v>13</v>
      </c>
    </row>
    <row r="32" spans="1:8" ht="26.25" customHeight="1" x14ac:dyDescent="0.2">
      <c r="A32" s="43">
        <v>22</v>
      </c>
      <c r="B32" s="61"/>
      <c r="C32" s="61"/>
      <c r="D32" s="14">
        <f>4000-181</f>
        <v>3819</v>
      </c>
      <c r="E32" s="43" t="s">
        <v>10</v>
      </c>
      <c r="F32" s="15" t="s">
        <v>12</v>
      </c>
      <c r="G32" s="15" t="s">
        <v>25</v>
      </c>
      <c r="H32" s="16"/>
    </row>
    <row r="33" spans="1:10" ht="25.5" customHeight="1" x14ac:dyDescent="0.2">
      <c r="A33" s="43">
        <v>23</v>
      </c>
      <c r="B33" s="43">
        <v>31500000</v>
      </c>
      <c r="C33" s="43" t="s">
        <v>58</v>
      </c>
      <c r="D33" s="14">
        <f>2096-2000</f>
        <v>96</v>
      </c>
      <c r="E33" s="43" t="s">
        <v>10</v>
      </c>
      <c r="F33" s="15" t="s">
        <v>12</v>
      </c>
      <c r="G33" s="15" t="s">
        <v>25</v>
      </c>
      <c r="H33" s="16"/>
    </row>
    <row r="34" spans="1:10" ht="26.25" customHeight="1" x14ac:dyDescent="0.2">
      <c r="A34" s="43">
        <v>24</v>
      </c>
      <c r="B34" s="64">
        <v>32200000</v>
      </c>
      <c r="C34" s="64" t="s">
        <v>126</v>
      </c>
      <c r="D34" s="20">
        <f>2000-865</f>
        <v>1135</v>
      </c>
      <c r="E34" s="43" t="s">
        <v>10</v>
      </c>
      <c r="F34" s="15" t="s">
        <v>12</v>
      </c>
      <c r="G34" s="15" t="s">
        <v>25</v>
      </c>
      <c r="H34" s="16"/>
    </row>
    <row r="35" spans="1:10" ht="24" customHeight="1" x14ac:dyDescent="0.2">
      <c r="A35" s="43">
        <v>25</v>
      </c>
      <c r="B35" s="65"/>
      <c r="C35" s="65"/>
      <c r="D35" s="14">
        <v>3860</v>
      </c>
      <c r="E35" s="43" t="s">
        <v>10</v>
      </c>
      <c r="F35" s="15" t="s">
        <v>12</v>
      </c>
      <c r="G35" s="15" t="s">
        <v>25</v>
      </c>
      <c r="H35" s="16"/>
    </row>
    <row r="36" spans="1:10" ht="27" customHeight="1" x14ac:dyDescent="0.2">
      <c r="A36" s="43">
        <v>26</v>
      </c>
      <c r="B36" s="64">
        <v>32300000</v>
      </c>
      <c r="C36" s="64" t="s">
        <v>127</v>
      </c>
      <c r="D36" s="14">
        <f>500-110</f>
        <v>390</v>
      </c>
      <c r="E36" s="43" t="s">
        <v>10</v>
      </c>
      <c r="F36" s="15" t="s">
        <v>12</v>
      </c>
      <c r="G36" s="15" t="s">
        <v>25</v>
      </c>
      <c r="H36" s="16"/>
    </row>
    <row r="37" spans="1:10" ht="23.25" customHeight="1" x14ac:dyDescent="0.2">
      <c r="A37" s="43">
        <v>27</v>
      </c>
      <c r="B37" s="69"/>
      <c r="C37" s="69"/>
      <c r="D37" s="20">
        <f>1400+1100</f>
        <v>2500</v>
      </c>
      <c r="E37" s="43" t="s">
        <v>10</v>
      </c>
      <c r="F37" s="15" t="s">
        <v>12</v>
      </c>
      <c r="G37" s="15" t="s">
        <v>25</v>
      </c>
      <c r="H37" s="16"/>
    </row>
    <row r="38" spans="1:10" ht="31.5" customHeight="1" x14ac:dyDescent="0.2">
      <c r="A38" s="43">
        <v>28</v>
      </c>
      <c r="B38" s="65"/>
      <c r="C38" s="65"/>
      <c r="D38" s="20">
        <v>44200</v>
      </c>
      <c r="E38" s="43" t="s">
        <v>26</v>
      </c>
      <c r="F38" s="15" t="s">
        <v>12</v>
      </c>
      <c r="G38" s="15" t="s">
        <v>25</v>
      </c>
      <c r="H38" s="16"/>
    </row>
    <row r="39" spans="1:10" ht="28.5" customHeight="1" x14ac:dyDescent="0.2">
      <c r="A39" s="43">
        <v>29</v>
      </c>
      <c r="B39" s="43">
        <v>32500000</v>
      </c>
      <c r="C39" s="43" t="s">
        <v>90</v>
      </c>
      <c r="D39" s="14">
        <f>5000+1980</f>
        <v>6980</v>
      </c>
      <c r="E39" s="43" t="s">
        <v>26</v>
      </c>
      <c r="F39" s="15" t="s">
        <v>12</v>
      </c>
      <c r="G39" s="15" t="s">
        <v>25</v>
      </c>
      <c r="H39" s="16"/>
      <c r="J39" s="11"/>
    </row>
    <row r="40" spans="1:10" ht="26.25" customHeight="1" x14ac:dyDescent="0.2">
      <c r="A40" s="43">
        <v>30</v>
      </c>
      <c r="B40" s="61">
        <v>34100000</v>
      </c>
      <c r="C40" s="61" t="s">
        <v>51</v>
      </c>
      <c r="D40" s="20">
        <f>480000-200000</f>
        <v>280000</v>
      </c>
      <c r="E40" s="43" t="s">
        <v>26</v>
      </c>
      <c r="F40" s="15" t="s">
        <v>12</v>
      </c>
      <c r="G40" s="15" t="s">
        <v>25</v>
      </c>
      <c r="H40" s="43"/>
    </row>
    <row r="41" spans="1:10" ht="31.5" customHeight="1" x14ac:dyDescent="0.2">
      <c r="A41" s="43">
        <v>31</v>
      </c>
      <c r="B41" s="61"/>
      <c r="C41" s="61"/>
      <c r="D41" s="30">
        <f>320588+190.45</f>
        <v>320778.45</v>
      </c>
      <c r="E41" s="43" t="s">
        <v>14</v>
      </c>
      <c r="F41" s="15" t="s">
        <v>12</v>
      </c>
      <c r="G41" s="15" t="s">
        <v>25</v>
      </c>
      <c r="H41" s="16" t="s">
        <v>13</v>
      </c>
    </row>
    <row r="42" spans="1:10" ht="27.75" customHeight="1" x14ac:dyDescent="0.2">
      <c r="A42" s="43">
        <v>32</v>
      </c>
      <c r="B42" s="61">
        <v>34300000</v>
      </c>
      <c r="C42" s="61" t="s">
        <v>38</v>
      </c>
      <c r="D42" s="14">
        <f>136000-9000</f>
        <v>127000</v>
      </c>
      <c r="E42" s="43" t="s">
        <v>14</v>
      </c>
      <c r="F42" s="15" t="s">
        <v>12</v>
      </c>
      <c r="G42" s="15" t="s">
        <v>25</v>
      </c>
      <c r="H42" s="16" t="s">
        <v>13</v>
      </c>
    </row>
    <row r="43" spans="1:10" ht="29.25" customHeight="1" x14ac:dyDescent="0.2">
      <c r="A43" s="43">
        <v>33</v>
      </c>
      <c r="B43" s="61"/>
      <c r="C43" s="61"/>
      <c r="D43" s="14">
        <f>500-150</f>
        <v>350</v>
      </c>
      <c r="E43" s="43" t="s">
        <v>10</v>
      </c>
      <c r="F43" s="15" t="s">
        <v>12</v>
      </c>
      <c r="G43" s="15" t="s">
        <v>25</v>
      </c>
      <c r="H43" s="16"/>
    </row>
    <row r="44" spans="1:10" ht="31.5" customHeight="1" x14ac:dyDescent="0.2">
      <c r="A44" s="43">
        <v>34</v>
      </c>
      <c r="B44" s="43">
        <v>34400000</v>
      </c>
      <c r="C44" s="43" t="s">
        <v>83</v>
      </c>
      <c r="D44" s="29">
        <f>1581.2-51.2</f>
        <v>1530</v>
      </c>
      <c r="E44" s="43" t="s">
        <v>10</v>
      </c>
      <c r="F44" s="15" t="s">
        <v>12</v>
      </c>
      <c r="G44" s="15" t="s">
        <v>25</v>
      </c>
      <c r="H44" s="16"/>
    </row>
    <row r="45" spans="1:10" ht="21" customHeight="1" x14ac:dyDescent="0.2">
      <c r="A45" s="43">
        <v>35</v>
      </c>
      <c r="B45" s="64">
        <v>34900000</v>
      </c>
      <c r="C45" s="64" t="s">
        <v>64</v>
      </c>
      <c r="D45" s="20">
        <v>3500</v>
      </c>
      <c r="E45" s="43" t="s">
        <v>10</v>
      </c>
      <c r="F45" s="15" t="s">
        <v>12</v>
      </c>
      <c r="G45" s="15" t="s">
        <v>25</v>
      </c>
      <c r="H45" s="16"/>
    </row>
    <row r="46" spans="1:10" ht="25.5" customHeight="1" x14ac:dyDescent="0.2">
      <c r="A46" s="43">
        <v>36</v>
      </c>
      <c r="B46" s="65"/>
      <c r="C46" s="65"/>
      <c r="D46" s="14">
        <f>1000-1000</f>
        <v>0</v>
      </c>
      <c r="E46" s="43" t="s">
        <v>10</v>
      </c>
      <c r="F46" s="15" t="s">
        <v>12</v>
      </c>
      <c r="G46" s="15" t="s">
        <v>25</v>
      </c>
      <c r="H46" s="16"/>
    </row>
    <row r="47" spans="1:10" ht="36" customHeight="1" x14ac:dyDescent="0.2">
      <c r="A47" s="43">
        <v>37</v>
      </c>
      <c r="B47" s="43">
        <v>35100000</v>
      </c>
      <c r="C47" s="43" t="s">
        <v>82</v>
      </c>
      <c r="D47" s="14">
        <f>1000-800</f>
        <v>200</v>
      </c>
      <c r="E47" s="43" t="s">
        <v>10</v>
      </c>
      <c r="F47" s="15" t="s">
        <v>12</v>
      </c>
      <c r="G47" s="15" t="s">
        <v>25</v>
      </c>
      <c r="H47" s="43"/>
    </row>
    <row r="48" spans="1:10" ht="27.75" customHeight="1" x14ac:dyDescent="0.2">
      <c r="A48" s="43">
        <v>38</v>
      </c>
      <c r="B48" s="43">
        <v>35800000</v>
      </c>
      <c r="C48" s="43" t="s">
        <v>76</v>
      </c>
      <c r="D48" s="14">
        <f>1000-460</f>
        <v>540</v>
      </c>
      <c r="E48" s="43" t="s">
        <v>10</v>
      </c>
      <c r="F48" s="15" t="s">
        <v>12</v>
      </c>
      <c r="G48" s="15" t="s">
        <v>25</v>
      </c>
      <c r="H48" s="16"/>
    </row>
    <row r="49" spans="1:10" ht="32.25" customHeight="1" x14ac:dyDescent="0.2">
      <c r="A49" s="43">
        <v>39</v>
      </c>
      <c r="B49" s="44">
        <v>38100000</v>
      </c>
      <c r="C49" s="43" t="s">
        <v>55</v>
      </c>
      <c r="D49" s="20">
        <f>840000-791500</f>
        <v>48500</v>
      </c>
      <c r="E49" s="43" t="s">
        <v>26</v>
      </c>
      <c r="F49" s="15" t="s">
        <v>12</v>
      </c>
      <c r="G49" s="15" t="s">
        <v>25</v>
      </c>
      <c r="H49" s="16"/>
    </row>
    <row r="50" spans="1:10" ht="23.25" customHeight="1" x14ac:dyDescent="0.2">
      <c r="A50" s="43">
        <v>40</v>
      </c>
      <c r="B50" s="43">
        <v>39100000</v>
      </c>
      <c r="C50" s="43" t="s">
        <v>11</v>
      </c>
      <c r="D50" s="14">
        <f>4575-133</f>
        <v>4442</v>
      </c>
      <c r="E50" s="43" t="s">
        <v>10</v>
      </c>
      <c r="F50" s="15" t="s">
        <v>12</v>
      </c>
      <c r="G50" s="15" t="s">
        <v>25</v>
      </c>
      <c r="H50" s="16"/>
      <c r="J50" s="11"/>
    </row>
    <row r="51" spans="1:10" ht="25.5" customHeight="1" x14ac:dyDescent="0.2">
      <c r="A51" s="43">
        <v>41</v>
      </c>
      <c r="B51" s="43">
        <v>39200000</v>
      </c>
      <c r="C51" s="43" t="s">
        <v>88</v>
      </c>
      <c r="D51" s="29">
        <f>1760-28.7</f>
        <v>1731.3</v>
      </c>
      <c r="E51" s="43" t="s">
        <v>10</v>
      </c>
      <c r="F51" s="15" t="s">
        <v>12</v>
      </c>
      <c r="G51" s="15" t="s">
        <v>25</v>
      </c>
      <c r="H51" s="43"/>
    </row>
    <row r="52" spans="1:10" ht="24.75" customHeight="1" x14ac:dyDescent="0.2">
      <c r="A52" s="43">
        <v>42</v>
      </c>
      <c r="B52" s="43">
        <v>39500000</v>
      </c>
      <c r="C52" s="43" t="s">
        <v>104</v>
      </c>
      <c r="D52" s="29">
        <f>300-142.5</f>
        <v>157.5</v>
      </c>
      <c r="E52" s="43" t="s">
        <v>10</v>
      </c>
      <c r="F52" s="15" t="s">
        <v>12</v>
      </c>
      <c r="G52" s="15" t="s">
        <v>25</v>
      </c>
      <c r="H52" s="43"/>
    </row>
    <row r="53" spans="1:10" ht="24" customHeight="1" x14ac:dyDescent="0.2">
      <c r="A53" s="43">
        <v>43</v>
      </c>
      <c r="B53" s="64">
        <v>39700000</v>
      </c>
      <c r="C53" s="64" t="s">
        <v>79</v>
      </c>
      <c r="D53" s="14">
        <f>1147-67</f>
        <v>1080</v>
      </c>
      <c r="E53" s="43" t="s">
        <v>10</v>
      </c>
      <c r="F53" s="15" t="s">
        <v>12</v>
      </c>
      <c r="G53" s="15" t="s">
        <v>25</v>
      </c>
      <c r="H53" s="16"/>
    </row>
    <row r="54" spans="1:10" ht="24.75" customHeight="1" x14ac:dyDescent="0.2">
      <c r="A54" s="43">
        <v>44</v>
      </c>
      <c r="B54" s="65"/>
      <c r="C54" s="65"/>
      <c r="D54" s="20">
        <f>4040-197</f>
        <v>3843</v>
      </c>
      <c r="E54" s="43" t="s">
        <v>10</v>
      </c>
      <c r="F54" s="15" t="s">
        <v>12</v>
      </c>
      <c r="G54" s="15" t="s">
        <v>25</v>
      </c>
      <c r="H54" s="16"/>
    </row>
    <row r="55" spans="1:10" ht="24" customHeight="1" x14ac:dyDescent="0.2">
      <c r="A55" s="43">
        <v>45</v>
      </c>
      <c r="B55" s="61">
        <v>42400000</v>
      </c>
      <c r="C55" s="61" t="s">
        <v>75</v>
      </c>
      <c r="D55" s="20">
        <f>1500</f>
        <v>1500</v>
      </c>
      <c r="E55" s="43" t="s">
        <v>10</v>
      </c>
      <c r="F55" s="15" t="s">
        <v>12</v>
      </c>
      <c r="G55" s="15" t="s">
        <v>25</v>
      </c>
      <c r="H55" s="16"/>
    </row>
    <row r="56" spans="1:10" ht="24.75" customHeight="1" x14ac:dyDescent="0.2">
      <c r="A56" s="43">
        <v>46</v>
      </c>
      <c r="B56" s="61"/>
      <c r="C56" s="61"/>
      <c r="D56" s="14">
        <f>945+520</f>
        <v>1465</v>
      </c>
      <c r="E56" s="43" t="s">
        <v>10</v>
      </c>
      <c r="F56" s="15" t="s">
        <v>12</v>
      </c>
      <c r="G56" s="15" t="s">
        <v>25</v>
      </c>
      <c r="H56" s="16"/>
    </row>
    <row r="57" spans="1:10" ht="32.25" customHeight="1" x14ac:dyDescent="0.2">
      <c r="A57" s="43">
        <v>47</v>
      </c>
      <c r="B57" s="43">
        <v>42500000</v>
      </c>
      <c r="C57" s="43" t="s">
        <v>85</v>
      </c>
      <c r="D57" s="20">
        <v>45000</v>
      </c>
      <c r="E57" s="43" t="s">
        <v>26</v>
      </c>
      <c r="F57" s="15" t="s">
        <v>12</v>
      </c>
      <c r="G57" s="15" t="s">
        <v>25</v>
      </c>
      <c r="H57" s="16"/>
    </row>
    <row r="58" spans="1:10" ht="36" customHeight="1" x14ac:dyDescent="0.2">
      <c r="A58" s="43">
        <v>48</v>
      </c>
      <c r="B58" s="43">
        <v>42600000</v>
      </c>
      <c r="C58" s="43" t="s">
        <v>77</v>
      </c>
      <c r="D58" s="29">
        <f>4950+38.6</f>
        <v>4988.6000000000004</v>
      </c>
      <c r="E58" s="43" t="s">
        <v>10</v>
      </c>
      <c r="F58" s="15" t="s">
        <v>12</v>
      </c>
      <c r="G58" s="15" t="s">
        <v>25</v>
      </c>
      <c r="H58" s="16"/>
    </row>
    <row r="59" spans="1:10" ht="27.75" customHeight="1" x14ac:dyDescent="0.2">
      <c r="A59" s="43">
        <v>49</v>
      </c>
      <c r="B59" s="62">
        <v>42900000</v>
      </c>
      <c r="C59" s="64" t="s">
        <v>68</v>
      </c>
      <c r="D59" s="14">
        <v>8028</v>
      </c>
      <c r="E59" s="43" t="s">
        <v>14</v>
      </c>
      <c r="F59" s="15" t="s">
        <v>12</v>
      </c>
      <c r="G59" s="15" t="s">
        <v>25</v>
      </c>
      <c r="H59" s="16" t="s">
        <v>13</v>
      </c>
    </row>
    <row r="60" spans="1:10" ht="29.25" customHeight="1" x14ac:dyDescent="0.2">
      <c r="A60" s="43">
        <v>50</v>
      </c>
      <c r="B60" s="63"/>
      <c r="C60" s="65"/>
      <c r="D60" s="20">
        <f>8100</f>
        <v>8100</v>
      </c>
      <c r="E60" s="43" t="s">
        <v>26</v>
      </c>
      <c r="F60" s="15" t="s">
        <v>12</v>
      </c>
      <c r="G60" s="15" t="s">
        <v>25</v>
      </c>
      <c r="H60" s="16"/>
    </row>
    <row r="61" spans="1:10" ht="36.75" customHeight="1" x14ac:dyDescent="0.2">
      <c r="A61" s="43">
        <v>51</v>
      </c>
      <c r="B61" s="43">
        <v>43200000</v>
      </c>
      <c r="C61" s="43" t="s">
        <v>54</v>
      </c>
      <c r="D61" s="20">
        <f>1094400-708500</f>
        <v>385900</v>
      </c>
      <c r="E61" s="43" t="s">
        <v>26</v>
      </c>
      <c r="F61" s="15" t="s">
        <v>12</v>
      </c>
      <c r="G61" s="15" t="s">
        <v>25</v>
      </c>
      <c r="H61" s="43"/>
    </row>
    <row r="62" spans="1:10" ht="35.25" customHeight="1" x14ac:dyDescent="0.2">
      <c r="A62" s="43">
        <v>52</v>
      </c>
      <c r="B62" s="44">
        <v>43800000</v>
      </c>
      <c r="C62" s="43" t="s">
        <v>74</v>
      </c>
      <c r="D62" s="20">
        <f>60000+15600</f>
        <v>75600</v>
      </c>
      <c r="E62" s="43" t="s">
        <v>26</v>
      </c>
      <c r="F62" s="15" t="s">
        <v>12</v>
      </c>
      <c r="G62" s="15" t="s">
        <v>25</v>
      </c>
      <c r="H62" s="16"/>
    </row>
    <row r="63" spans="1:10" ht="25.5" customHeight="1" x14ac:dyDescent="0.2">
      <c r="A63" s="43">
        <v>53</v>
      </c>
      <c r="B63" s="64">
        <v>44400000</v>
      </c>
      <c r="C63" s="64" t="s">
        <v>47</v>
      </c>
      <c r="D63" s="14">
        <f>7000-800</f>
        <v>6200</v>
      </c>
      <c r="E63" s="43" t="s">
        <v>26</v>
      </c>
      <c r="F63" s="15" t="s">
        <v>12</v>
      </c>
      <c r="G63" s="15" t="s">
        <v>25</v>
      </c>
      <c r="H63" s="16"/>
    </row>
    <row r="64" spans="1:10" ht="28.5" customHeight="1" x14ac:dyDescent="0.2">
      <c r="A64" s="43">
        <v>54</v>
      </c>
      <c r="B64" s="65"/>
      <c r="C64" s="65"/>
      <c r="D64" s="20">
        <f>8250+18000</f>
        <v>26250</v>
      </c>
      <c r="E64" s="43" t="s">
        <v>26</v>
      </c>
      <c r="F64" s="15" t="s">
        <v>12</v>
      </c>
      <c r="G64" s="15" t="s">
        <v>25</v>
      </c>
      <c r="H64" s="16"/>
    </row>
    <row r="65" spans="1:8" s="12" customFormat="1" ht="38.25" customHeight="1" x14ac:dyDescent="0.2">
      <c r="A65" s="43">
        <v>55</v>
      </c>
      <c r="B65" s="45">
        <v>44500000</v>
      </c>
      <c r="C65" s="43" t="s">
        <v>73</v>
      </c>
      <c r="D65" s="23">
        <f>9000-150</f>
        <v>8850</v>
      </c>
      <c r="E65" s="43" t="s">
        <v>26</v>
      </c>
      <c r="F65" s="15" t="s">
        <v>12</v>
      </c>
      <c r="G65" s="15" t="s">
        <v>25</v>
      </c>
      <c r="H65" s="43"/>
    </row>
    <row r="66" spans="1:8" ht="36.75" customHeight="1" x14ac:dyDescent="0.2">
      <c r="A66" s="43">
        <v>56</v>
      </c>
      <c r="B66" s="44">
        <v>45200000</v>
      </c>
      <c r="C66" s="43" t="s">
        <v>53</v>
      </c>
      <c r="D66" s="20">
        <f>2160000-20000-50000</f>
        <v>2090000</v>
      </c>
      <c r="E66" s="43" t="s">
        <v>26</v>
      </c>
      <c r="F66" s="15" t="s">
        <v>12</v>
      </c>
      <c r="G66" s="15" t="s">
        <v>25</v>
      </c>
      <c r="H66" s="16"/>
    </row>
    <row r="67" spans="1:8" ht="32.25" customHeight="1" x14ac:dyDescent="0.2">
      <c r="A67" s="43">
        <v>57</v>
      </c>
      <c r="B67" s="43">
        <v>45300000</v>
      </c>
      <c r="C67" s="43" t="s">
        <v>110</v>
      </c>
      <c r="D67" s="20">
        <v>60000</v>
      </c>
      <c r="E67" s="43" t="s">
        <v>26</v>
      </c>
      <c r="F67" s="15" t="s">
        <v>12</v>
      </c>
      <c r="G67" s="15" t="s">
        <v>25</v>
      </c>
      <c r="H67" s="16"/>
    </row>
    <row r="68" spans="1:8" ht="30" customHeight="1" x14ac:dyDescent="0.2">
      <c r="A68" s="43">
        <v>58</v>
      </c>
      <c r="B68" s="43">
        <v>48600000</v>
      </c>
      <c r="C68" s="43" t="s">
        <v>45</v>
      </c>
      <c r="D68" s="14">
        <f>1800-60</f>
        <v>1740</v>
      </c>
      <c r="E68" s="43" t="s">
        <v>10</v>
      </c>
      <c r="F68" s="15" t="s">
        <v>12</v>
      </c>
      <c r="G68" s="15" t="s">
        <v>25</v>
      </c>
      <c r="H68" s="16"/>
    </row>
    <row r="69" spans="1:8" ht="26.25" customHeight="1" x14ac:dyDescent="0.2">
      <c r="A69" s="43">
        <v>59</v>
      </c>
      <c r="B69" s="61">
        <v>50100000</v>
      </c>
      <c r="C69" s="61" t="s">
        <v>23</v>
      </c>
      <c r="D69" s="14">
        <f>32000-3860</f>
        <v>28140</v>
      </c>
      <c r="E69" s="43" t="s">
        <v>10</v>
      </c>
      <c r="F69" s="15" t="s">
        <v>12</v>
      </c>
      <c r="G69" s="15" t="s">
        <v>25</v>
      </c>
      <c r="H69" s="16" t="s">
        <v>59</v>
      </c>
    </row>
    <row r="70" spans="1:8" ht="30.75" customHeight="1" x14ac:dyDescent="0.2">
      <c r="A70" s="43">
        <v>60</v>
      </c>
      <c r="B70" s="61"/>
      <c r="C70" s="61"/>
      <c r="D70" s="29">
        <f>211028.75-5000</f>
        <v>206028.75</v>
      </c>
      <c r="E70" s="43" t="s">
        <v>26</v>
      </c>
      <c r="F70" s="15" t="s">
        <v>12</v>
      </c>
      <c r="G70" s="15" t="s">
        <v>25</v>
      </c>
      <c r="H70" s="16"/>
    </row>
    <row r="71" spans="1:8" ht="25.5" customHeight="1" x14ac:dyDescent="0.2">
      <c r="A71" s="43">
        <v>61</v>
      </c>
      <c r="B71" s="61"/>
      <c r="C71" s="61"/>
      <c r="D71" s="14">
        <f>27000-14000</f>
        <v>13000</v>
      </c>
      <c r="E71" s="43" t="s">
        <v>26</v>
      </c>
      <c r="F71" s="15" t="s">
        <v>12</v>
      </c>
      <c r="G71" s="15" t="s">
        <v>25</v>
      </c>
      <c r="H71" s="16"/>
    </row>
    <row r="72" spans="1:8" ht="61.5" customHeight="1" x14ac:dyDescent="0.2">
      <c r="A72" s="43">
        <v>62</v>
      </c>
      <c r="B72" s="43">
        <v>50300000</v>
      </c>
      <c r="C72" s="43" t="s">
        <v>46</v>
      </c>
      <c r="D72" s="14">
        <f>8480-3760</f>
        <v>4720</v>
      </c>
      <c r="E72" s="43" t="s">
        <v>26</v>
      </c>
      <c r="F72" s="15" t="s">
        <v>12</v>
      </c>
      <c r="G72" s="15" t="s">
        <v>25</v>
      </c>
      <c r="H72" s="16"/>
    </row>
    <row r="73" spans="1:8" ht="30.75" customHeight="1" x14ac:dyDescent="0.2">
      <c r="A73" s="43">
        <v>63</v>
      </c>
      <c r="B73" s="43">
        <v>50700000</v>
      </c>
      <c r="C73" s="43" t="s">
        <v>49</v>
      </c>
      <c r="D73" s="14">
        <f>8000-4000</f>
        <v>4000</v>
      </c>
      <c r="E73" s="43" t="s">
        <v>26</v>
      </c>
      <c r="F73" s="15" t="s">
        <v>12</v>
      </c>
      <c r="G73" s="15" t="s">
        <v>25</v>
      </c>
      <c r="H73" s="16"/>
    </row>
    <row r="74" spans="1:8" ht="33.75" customHeight="1" x14ac:dyDescent="0.2">
      <c r="A74" s="43">
        <v>64</v>
      </c>
      <c r="B74" s="43">
        <v>63100000</v>
      </c>
      <c r="C74" s="43" t="s">
        <v>50</v>
      </c>
      <c r="D74" s="14">
        <f>7800-12</f>
        <v>7788</v>
      </c>
      <c r="E74" s="43" t="s">
        <v>26</v>
      </c>
      <c r="F74" s="15" t="s">
        <v>12</v>
      </c>
      <c r="G74" s="15" t="s">
        <v>25</v>
      </c>
      <c r="H74" s="16"/>
    </row>
    <row r="75" spans="1:8" s="49" customFormat="1" ht="30.75" customHeight="1" x14ac:dyDescent="0.2">
      <c r="A75" s="43">
        <v>65</v>
      </c>
      <c r="B75" s="61">
        <v>63700000</v>
      </c>
      <c r="C75" s="61" t="s">
        <v>19</v>
      </c>
      <c r="D75" s="14">
        <f>9620-3</f>
        <v>9617</v>
      </c>
      <c r="E75" s="43" t="s">
        <v>26</v>
      </c>
      <c r="F75" s="15" t="s">
        <v>12</v>
      </c>
      <c r="G75" s="15" t="s">
        <v>25</v>
      </c>
      <c r="H75" s="16"/>
    </row>
    <row r="76" spans="1:8" s="49" customFormat="1" ht="33" customHeight="1" x14ac:dyDescent="0.2">
      <c r="A76" s="43">
        <v>66</v>
      </c>
      <c r="B76" s="61"/>
      <c r="C76" s="61"/>
      <c r="D76" s="14">
        <f>1830-430</f>
        <v>1400</v>
      </c>
      <c r="E76" s="43" t="s">
        <v>10</v>
      </c>
      <c r="F76" s="15" t="s">
        <v>12</v>
      </c>
      <c r="G76" s="15" t="s">
        <v>25</v>
      </c>
      <c r="H76" s="16" t="s">
        <v>17</v>
      </c>
    </row>
    <row r="77" spans="1:8" ht="28.5" customHeight="1" x14ac:dyDescent="0.2">
      <c r="A77" s="43">
        <v>67</v>
      </c>
      <c r="B77" s="61">
        <v>64200000</v>
      </c>
      <c r="C77" s="61" t="s">
        <v>41</v>
      </c>
      <c r="D77" s="29">
        <f>37523-430.27</f>
        <v>37092.730000000003</v>
      </c>
      <c r="E77" s="43" t="s">
        <v>14</v>
      </c>
      <c r="F77" s="15" t="s">
        <v>12</v>
      </c>
      <c r="G77" s="15" t="s">
        <v>25</v>
      </c>
      <c r="H77" s="16" t="s">
        <v>13</v>
      </c>
    </row>
    <row r="78" spans="1:8" ht="33" customHeight="1" x14ac:dyDescent="0.2">
      <c r="A78" s="43">
        <v>68</v>
      </c>
      <c r="B78" s="61"/>
      <c r="C78" s="61"/>
      <c r="D78" s="14">
        <v>850</v>
      </c>
      <c r="E78" s="43" t="s">
        <v>10</v>
      </c>
      <c r="F78" s="15" t="s">
        <v>12</v>
      </c>
      <c r="G78" s="15" t="s">
        <v>25</v>
      </c>
      <c r="H78" s="16" t="s">
        <v>18</v>
      </c>
    </row>
    <row r="79" spans="1:8" ht="28.5" customHeight="1" x14ac:dyDescent="0.2">
      <c r="A79" s="43">
        <v>69</v>
      </c>
      <c r="B79" s="61"/>
      <c r="C79" s="61"/>
      <c r="D79" s="14">
        <f>1400-100</f>
        <v>1300</v>
      </c>
      <c r="E79" s="43" t="s">
        <v>10</v>
      </c>
      <c r="F79" s="15" t="s">
        <v>12</v>
      </c>
      <c r="G79" s="15" t="s">
        <v>25</v>
      </c>
      <c r="H79" s="16"/>
    </row>
    <row r="80" spans="1:8" ht="33.75" customHeight="1" x14ac:dyDescent="0.2">
      <c r="A80" s="43">
        <v>70</v>
      </c>
      <c r="B80" s="61"/>
      <c r="C80" s="61"/>
      <c r="D80" s="14">
        <f>9250+1325</f>
        <v>10575</v>
      </c>
      <c r="E80" s="43" t="s">
        <v>10</v>
      </c>
      <c r="F80" s="15" t="s">
        <v>12</v>
      </c>
      <c r="G80" s="15" t="s">
        <v>25</v>
      </c>
      <c r="H80" s="16" t="s">
        <v>17</v>
      </c>
    </row>
    <row r="81" spans="1:10" ht="28.5" customHeight="1" x14ac:dyDescent="0.2">
      <c r="A81" s="43">
        <v>71</v>
      </c>
      <c r="B81" s="61">
        <v>66500000</v>
      </c>
      <c r="C81" s="61" t="s">
        <v>34</v>
      </c>
      <c r="D81" s="21">
        <f>57200-17500.21</f>
        <v>39699.79</v>
      </c>
      <c r="E81" s="43" t="s">
        <v>14</v>
      </c>
      <c r="F81" s="15" t="s">
        <v>12</v>
      </c>
      <c r="G81" s="15" t="s">
        <v>25</v>
      </c>
      <c r="H81" s="16"/>
    </row>
    <row r="82" spans="1:10" ht="31.5" customHeight="1" x14ac:dyDescent="0.2">
      <c r="A82" s="43">
        <v>72</v>
      </c>
      <c r="B82" s="61"/>
      <c r="C82" s="61"/>
      <c r="D82" s="21">
        <f>29300-270.79</f>
        <v>29029.21</v>
      </c>
      <c r="E82" s="43" t="s">
        <v>10</v>
      </c>
      <c r="F82" s="15" t="s">
        <v>12</v>
      </c>
      <c r="G82" s="15" t="s">
        <v>25</v>
      </c>
      <c r="H82" s="16" t="s">
        <v>62</v>
      </c>
    </row>
    <row r="83" spans="1:10" ht="40.5" customHeight="1" x14ac:dyDescent="0.2">
      <c r="A83" s="43">
        <v>73</v>
      </c>
      <c r="B83" s="43">
        <v>71200000</v>
      </c>
      <c r="C83" s="43" t="s">
        <v>89</v>
      </c>
      <c r="D83" s="20">
        <f>26500+865</f>
        <v>27365</v>
      </c>
      <c r="E83" s="43" t="s">
        <v>26</v>
      </c>
      <c r="F83" s="15" t="s">
        <v>12</v>
      </c>
      <c r="G83" s="15" t="s">
        <v>25</v>
      </c>
      <c r="H83" s="16"/>
    </row>
    <row r="84" spans="1:10" ht="33.75" customHeight="1" x14ac:dyDescent="0.2">
      <c r="A84" s="43">
        <v>74</v>
      </c>
      <c r="B84" s="64">
        <v>71300000</v>
      </c>
      <c r="C84" s="64" t="s">
        <v>60</v>
      </c>
      <c r="D84" s="29">
        <f>1640+190.45</f>
        <v>1830.45</v>
      </c>
      <c r="E84" s="43" t="s">
        <v>10</v>
      </c>
      <c r="F84" s="15" t="s">
        <v>12</v>
      </c>
      <c r="G84" s="15" t="s">
        <v>25</v>
      </c>
      <c r="H84" s="16"/>
    </row>
    <row r="85" spans="1:10" ht="33.75" customHeight="1" x14ac:dyDescent="0.2">
      <c r="A85" s="43">
        <v>75</v>
      </c>
      <c r="B85" s="65"/>
      <c r="C85" s="65"/>
      <c r="D85" s="30">
        <f>3350-190.45</f>
        <v>3159.55</v>
      </c>
      <c r="E85" s="43" t="s">
        <v>10</v>
      </c>
      <c r="F85" s="15" t="s">
        <v>12</v>
      </c>
      <c r="G85" s="15" t="s">
        <v>25</v>
      </c>
      <c r="H85" s="16"/>
    </row>
    <row r="86" spans="1:10" ht="38.25" customHeight="1" x14ac:dyDescent="0.2">
      <c r="A86" s="43">
        <v>76</v>
      </c>
      <c r="B86" s="43">
        <v>71600000</v>
      </c>
      <c r="C86" s="43" t="s">
        <v>63</v>
      </c>
      <c r="D86" s="14">
        <v>5000</v>
      </c>
      <c r="E86" s="43" t="s">
        <v>10</v>
      </c>
      <c r="F86" s="15" t="s">
        <v>12</v>
      </c>
      <c r="G86" s="15" t="s">
        <v>25</v>
      </c>
      <c r="H86" s="16" t="s">
        <v>17</v>
      </c>
    </row>
    <row r="87" spans="1:10" ht="37.5" customHeight="1" x14ac:dyDescent="0.2">
      <c r="A87" s="43">
        <v>77</v>
      </c>
      <c r="B87" s="90">
        <v>72200000</v>
      </c>
      <c r="C87" s="61" t="s">
        <v>24</v>
      </c>
      <c r="D87" s="14">
        <f>330000-310000</f>
        <v>20000</v>
      </c>
      <c r="E87" s="43" t="s">
        <v>10</v>
      </c>
      <c r="F87" s="15" t="s">
        <v>12</v>
      </c>
      <c r="G87" s="15" t="s">
        <v>25</v>
      </c>
      <c r="H87" s="16" t="s">
        <v>16</v>
      </c>
    </row>
    <row r="88" spans="1:10" ht="41.25" customHeight="1" x14ac:dyDescent="0.2">
      <c r="A88" s="43">
        <v>78</v>
      </c>
      <c r="B88" s="90"/>
      <c r="C88" s="61"/>
      <c r="D88" s="14">
        <f>33000+350</f>
        <v>33350</v>
      </c>
      <c r="E88" s="43" t="s">
        <v>10</v>
      </c>
      <c r="F88" s="15" t="s">
        <v>12</v>
      </c>
      <c r="G88" s="15" t="s">
        <v>25</v>
      </c>
      <c r="H88" s="16" t="s">
        <v>17</v>
      </c>
    </row>
    <row r="89" spans="1:10" ht="38.25" customHeight="1" x14ac:dyDescent="0.2">
      <c r="A89" s="43">
        <v>79</v>
      </c>
      <c r="B89" s="43">
        <v>72400000</v>
      </c>
      <c r="C89" s="43" t="s">
        <v>31</v>
      </c>
      <c r="D89" s="14">
        <f>29800-40</f>
        <v>29760</v>
      </c>
      <c r="E89" s="43" t="s">
        <v>33</v>
      </c>
      <c r="F89" s="15" t="s">
        <v>12</v>
      </c>
      <c r="G89" s="15" t="s">
        <v>25</v>
      </c>
      <c r="H89" s="16" t="s">
        <v>16</v>
      </c>
    </row>
    <row r="90" spans="1:10" ht="33.75" customHeight="1" x14ac:dyDescent="0.2">
      <c r="A90" s="43">
        <v>80</v>
      </c>
      <c r="B90" s="61">
        <v>75100000</v>
      </c>
      <c r="C90" s="61" t="s">
        <v>57</v>
      </c>
      <c r="D90" s="20">
        <v>3000</v>
      </c>
      <c r="E90" s="43" t="s">
        <v>10</v>
      </c>
      <c r="F90" s="15" t="s">
        <v>12</v>
      </c>
      <c r="G90" s="15" t="s">
        <v>25</v>
      </c>
      <c r="H90" s="16" t="s">
        <v>17</v>
      </c>
    </row>
    <row r="91" spans="1:10" ht="31.5" customHeight="1" x14ac:dyDescent="0.2">
      <c r="A91" s="43">
        <v>81</v>
      </c>
      <c r="B91" s="61"/>
      <c r="C91" s="61"/>
      <c r="D91" s="14">
        <f>2000-500</f>
        <v>1500</v>
      </c>
      <c r="E91" s="43" t="s">
        <v>10</v>
      </c>
      <c r="F91" s="15" t="s">
        <v>12</v>
      </c>
      <c r="G91" s="15" t="s">
        <v>25</v>
      </c>
      <c r="H91" s="16" t="s">
        <v>17</v>
      </c>
    </row>
    <row r="92" spans="1:10" ht="33.75" customHeight="1" x14ac:dyDescent="0.2">
      <c r="A92" s="43">
        <v>82</v>
      </c>
      <c r="B92" s="43">
        <v>77100000</v>
      </c>
      <c r="C92" s="43" t="s">
        <v>67</v>
      </c>
      <c r="D92" s="14">
        <f>2000-1750</f>
        <v>250</v>
      </c>
      <c r="E92" s="43" t="s">
        <v>10</v>
      </c>
      <c r="F92" s="15" t="s">
        <v>12</v>
      </c>
      <c r="G92" s="15" t="s">
        <v>25</v>
      </c>
      <c r="H92" s="16"/>
    </row>
    <row r="93" spans="1:10" ht="36.75" customHeight="1" x14ac:dyDescent="0.2">
      <c r="A93" s="43">
        <v>83</v>
      </c>
      <c r="B93" s="43">
        <v>77200000</v>
      </c>
      <c r="C93" s="43" t="s">
        <v>28</v>
      </c>
      <c r="D93" s="29">
        <f>583000-66914.95</f>
        <v>516085.05</v>
      </c>
      <c r="E93" s="43" t="s">
        <v>26</v>
      </c>
      <c r="F93" s="15" t="s">
        <v>12</v>
      </c>
      <c r="G93" s="15" t="s">
        <v>25</v>
      </c>
      <c r="H93" s="16"/>
    </row>
    <row r="94" spans="1:10" ht="48" customHeight="1" x14ac:dyDescent="0.2">
      <c r="A94" s="43">
        <v>84</v>
      </c>
      <c r="B94" s="43">
        <v>79700000</v>
      </c>
      <c r="C94" s="43" t="s">
        <v>29</v>
      </c>
      <c r="D94" s="14">
        <f>111100-320</f>
        <v>110780</v>
      </c>
      <c r="E94" s="43" t="s">
        <v>10</v>
      </c>
      <c r="F94" s="15" t="s">
        <v>12</v>
      </c>
      <c r="G94" s="15" t="s">
        <v>25</v>
      </c>
      <c r="H94" s="16" t="s">
        <v>18</v>
      </c>
    </row>
    <row r="95" spans="1:10" ht="35.25" customHeight="1" x14ac:dyDescent="0.2">
      <c r="A95" s="43">
        <v>85</v>
      </c>
      <c r="B95" s="43">
        <v>79800000</v>
      </c>
      <c r="C95" s="43" t="s">
        <v>69</v>
      </c>
      <c r="D95" s="14">
        <f>2000-714</f>
        <v>1286</v>
      </c>
      <c r="E95" s="43" t="s">
        <v>10</v>
      </c>
      <c r="F95" s="15" t="s">
        <v>12</v>
      </c>
      <c r="G95" s="15" t="s">
        <v>25</v>
      </c>
      <c r="H95" s="16"/>
    </row>
    <row r="96" spans="1:10" ht="31.5" customHeight="1" x14ac:dyDescent="0.2">
      <c r="A96" s="43">
        <v>86</v>
      </c>
      <c r="B96" s="43">
        <v>90900000</v>
      </c>
      <c r="C96" s="43" t="s">
        <v>91</v>
      </c>
      <c r="D96" s="29">
        <f>520-18.5</f>
        <v>501.5</v>
      </c>
      <c r="E96" s="43" t="s">
        <v>10</v>
      </c>
      <c r="F96" s="15" t="s">
        <v>12</v>
      </c>
      <c r="G96" s="15" t="s">
        <v>25</v>
      </c>
      <c r="H96" s="16"/>
      <c r="J96" s="11"/>
    </row>
    <row r="97" spans="1:8" ht="31.5" customHeight="1" x14ac:dyDescent="0.2">
      <c r="A97" s="43">
        <v>87</v>
      </c>
      <c r="B97" s="43">
        <v>92200000</v>
      </c>
      <c r="C97" s="43" t="s">
        <v>32</v>
      </c>
      <c r="D97" s="14">
        <f>2930-170</f>
        <v>2760</v>
      </c>
      <c r="E97" s="43" t="s">
        <v>10</v>
      </c>
      <c r="F97" s="15" t="s">
        <v>12</v>
      </c>
      <c r="G97" s="15" t="s">
        <v>25</v>
      </c>
      <c r="H97" s="16"/>
    </row>
    <row r="98" spans="1:8" ht="30" customHeight="1" x14ac:dyDescent="0.2">
      <c r="A98" s="43">
        <v>88</v>
      </c>
      <c r="B98" s="43">
        <v>92400000</v>
      </c>
      <c r="C98" s="43" t="s">
        <v>61</v>
      </c>
      <c r="D98" s="14">
        <f>3300-300</f>
        <v>3000</v>
      </c>
      <c r="E98" s="43" t="s">
        <v>10</v>
      </c>
      <c r="F98" s="15" t="s">
        <v>12</v>
      </c>
      <c r="G98" s="15" t="s">
        <v>25</v>
      </c>
      <c r="H98" s="16"/>
    </row>
    <row r="99" spans="1:8" ht="38.25" customHeight="1" x14ac:dyDescent="0.2">
      <c r="A99" s="43">
        <v>89</v>
      </c>
      <c r="B99" s="43">
        <v>92500000</v>
      </c>
      <c r="C99" s="43" t="s">
        <v>39</v>
      </c>
      <c r="D99" s="14">
        <f>42000-58</f>
        <v>41942</v>
      </c>
      <c r="E99" s="43" t="s">
        <v>10</v>
      </c>
      <c r="F99" s="15" t="s">
        <v>12</v>
      </c>
      <c r="G99" s="15" t="s">
        <v>25</v>
      </c>
      <c r="H99" s="16" t="s">
        <v>17</v>
      </c>
    </row>
    <row r="100" spans="1:8" x14ac:dyDescent="0.2">
      <c r="C100" s="46"/>
      <c r="D100" s="32"/>
    </row>
    <row r="101" spans="1:8" x14ac:dyDescent="0.2">
      <c r="D101" s="54"/>
    </row>
    <row r="102" spans="1:8" ht="15.75" customHeight="1" x14ac:dyDescent="0.2">
      <c r="A102" s="2"/>
      <c r="B102" s="4"/>
      <c r="C102" s="5"/>
      <c r="D102" s="6"/>
      <c r="E102" s="3"/>
      <c r="F102" s="3"/>
      <c r="G102" s="3"/>
      <c r="H102" s="7"/>
    </row>
    <row r="103" spans="1:8" ht="27.75" customHeight="1" x14ac:dyDescent="0.2">
      <c r="A103" s="24"/>
      <c r="B103" s="59" t="s">
        <v>128</v>
      </c>
      <c r="C103" s="59"/>
    </row>
    <row r="104" spans="1:8" ht="13.5" customHeight="1" x14ac:dyDescent="0.2">
      <c r="A104" s="24"/>
      <c r="B104" s="24"/>
      <c r="D104" s="8"/>
      <c r="E104" s="60" t="s">
        <v>9</v>
      </c>
      <c r="F104" s="60"/>
    </row>
    <row r="105" spans="1:8" ht="20.25" customHeight="1" x14ac:dyDescent="0.2">
      <c r="A105" s="24"/>
      <c r="B105" s="24"/>
    </row>
    <row r="107" spans="1:8" ht="15.75" customHeight="1" x14ac:dyDescent="0.2">
      <c r="A107" s="2"/>
      <c r="B107" s="4"/>
      <c r="C107" s="5"/>
      <c r="D107" s="6"/>
      <c r="E107" s="3"/>
      <c r="F107" s="3"/>
      <c r="G107" s="3"/>
      <c r="H107" s="7"/>
    </row>
    <row r="108" spans="1:8" x14ac:dyDescent="0.2">
      <c r="A108" s="24"/>
      <c r="B108" s="24"/>
    </row>
    <row r="109" spans="1:8" ht="20.25" customHeight="1" x14ac:dyDescent="0.2">
      <c r="A109" s="24"/>
      <c r="B109" s="58"/>
      <c r="C109" s="58"/>
      <c r="D109" s="50"/>
    </row>
    <row r="110" spans="1:8" ht="13.5" customHeight="1" x14ac:dyDescent="0.2">
      <c r="A110" s="24"/>
      <c r="B110" s="59" t="s">
        <v>20</v>
      </c>
      <c r="C110" s="59"/>
      <c r="D110" s="51"/>
    </row>
    <row r="111" spans="1:8" x14ac:dyDescent="0.2">
      <c r="A111" s="24"/>
      <c r="B111" s="24"/>
      <c r="E111" s="60" t="s">
        <v>9</v>
      </c>
      <c r="F111" s="60"/>
    </row>
    <row r="112" spans="1:8" ht="16.5" customHeight="1" x14ac:dyDescent="0.2">
      <c r="A112" s="24"/>
      <c r="B112" s="24"/>
    </row>
    <row r="114" spans="3:13" x14ac:dyDescent="0.2">
      <c r="C114" s="46"/>
      <c r="E114" s="46"/>
      <c r="L114" s="10"/>
      <c r="M114" s="10"/>
    </row>
    <row r="115" spans="3:13" ht="19.5" customHeight="1" x14ac:dyDescent="0.2">
      <c r="C115" s="46"/>
      <c r="L115" s="10"/>
      <c r="M115" s="10"/>
    </row>
    <row r="116" spans="3:13" x14ac:dyDescent="0.2">
      <c r="L116" s="10"/>
      <c r="M116" s="10"/>
    </row>
    <row r="117" spans="3:13" ht="24.75" customHeight="1" x14ac:dyDescent="0.2">
      <c r="C117" s="25"/>
      <c r="L117" s="10"/>
      <c r="M117" s="10"/>
    </row>
    <row r="118" spans="3:13" ht="22.5" customHeight="1" x14ac:dyDescent="0.2">
      <c r="L118" s="10"/>
      <c r="M118" s="10"/>
    </row>
    <row r="119" spans="3:13" x14ac:dyDescent="0.2">
      <c r="C119" s="9"/>
      <c r="L119" s="10"/>
      <c r="M119" s="10"/>
    </row>
  </sheetData>
  <mergeCells count="56">
    <mergeCell ref="E104:F104"/>
    <mergeCell ref="C75:C76"/>
    <mergeCell ref="B103:C103"/>
    <mergeCell ref="B84:B85"/>
    <mergeCell ref="C84:C85"/>
    <mergeCell ref="B87:B88"/>
    <mergeCell ref="C87:C88"/>
    <mergeCell ref="B90:B91"/>
    <mergeCell ref="C90:C91"/>
    <mergeCell ref="A8:H8"/>
    <mergeCell ref="A9:H9"/>
    <mergeCell ref="B25:B26"/>
    <mergeCell ref="C25:C26"/>
    <mergeCell ref="B40:B41"/>
    <mergeCell ref="C40:C41"/>
    <mergeCell ref="C3:G3"/>
    <mergeCell ref="A4:E5"/>
    <mergeCell ref="F4:H4"/>
    <mergeCell ref="F5:H5"/>
    <mergeCell ref="A6:E6"/>
    <mergeCell ref="F6:H7"/>
    <mergeCell ref="A7:E7"/>
    <mergeCell ref="B13:B14"/>
    <mergeCell ref="C13:C14"/>
    <mergeCell ref="B15:B16"/>
    <mergeCell ref="C15:C16"/>
    <mergeCell ref="B36:B38"/>
    <mergeCell ref="C36:C38"/>
    <mergeCell ref="B27:B28"/>
    <mergeCell ref="C27:C28"/>
    <mergeCell ref="B34:B35"/>
    <mergeCell ref="C34:C35"/>
    <mergeCell ref="B31:B32"/>
    <mergeCell ref="C31:C32"/>
    <mergeCell ref="B42:B43"/>
    <mergeCell ref="C42:C43"/>
    <mergeCell ref="B45:B46"/>
    <mergeCell ref="C45:C46"/>
    <mergeCell ref="B53:B54"/>
    <mergeCell ref="C53:C54"/>
    <mergeCell ref="B109:C109"/>
    <mergeCell ref="B110:C110"/>
    <mergeCell ref="E111:F111"/>
    <mergeCell ref="B55:B56"/>
    <mergeCell ref="C55:C56"/>
    <mergeCell ref="B59:B60"/>
    <mergeCell ref="C59:C60"/>
    <mergeCell ref="B63:B64"/>
    <mergeCell ref="C63:C64"/>
    <mergeCell ref="B75:B76"/>
    <mergeCell ref="B69:B71"/>
    <mergeCell ref="C69:C71"/>
    <mergeCell ref="B77:B80"/>
    <mergeCell ref="C77:C80"/>
    <mergeCell ref="B81:B82"/>
    <mergeCell ref="C81:C82"/>
  </mergeCells>
  <phoneticPr fontId="1" type="noConversion"/>
  <pageMargins left="0.25" right="0" top="0.5" bottom="0" header="1.3" footer="1.3"/>
  <pageSetup paperSize="9" scale="59" orientation="portrait" r:id="rId1"/>
  <headerFooter alignWithMargins="0"/>
  <rowBreaks count="1" manualBreakCount="1">
    <brk id="65" max="7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1"/>
  <sheetViews>
    <sheetView view="pageBreakPreview" zoomScale="130" zoomScaleNormal="130" zoomScaleSheetLayoutView="130" workbookViewId="0">
      <selection activeCell="A6" sqref="A6:E6"/>
    </sheetView>
  </sheetViews>
  <sheetFormatPr defaultRowHeight="13.5" x14ac:dyDescent="0.2"/>
  <cols>
    <col min="1" max="1" width="3.85546875" style="49" customWidth="1"/>
    <col min="2" max="2" width="10" style="49" customWidth="1"/>
    <col min="3" max="3" width="53.7109375" style="24" customWidth="1"/>
    <col min="4" max="4" width="11.7109375" style="1" customWidth="1"/>
    <col min="5" max="5" width="10.42578125" style="24" customWidth="1"/>
    <col min="6" max="6" width="12.5703125" style="24" customWidth="1"/>
    <col min="7" max="7" width="14.5703125" style="24" customWidth="1"/>
    <col min="8" max="8" width="36.140625" style="24" customWidth="1"/>
    <col min="9" max="16384" width="9.140625" style="24"/>
  </cols>
  <sheetData>
    <row r="1" spans="1:8" ht="18" customHeight="1" x14ac:dyDescent="0.2"/>
    <row r="2" spans="1:8" s="11" customFormat="1" ht="23.25" customHeight="1" x14ac:dyDescent="0.2">
      <c r="A2" s="24"/>
      <c r="B2" s="24"/>
      <c r="C2" s="24"/>
      <c r="D2" s="1"/>
      <c r="E2" s="24"/>
      <c r="F2" s="24"/>
      <c r="G2" s="24"/>
      <c r="H2" s="18" t="s">
        <v>92</v>
      </c>
    </row>
    <row r="3" spans="1:8" s="11" customFormat="1" ht="20.25" customHeight="1" x14ac:dyDescent="0.2">
      <c r="A3" s="24"/>
      <c r="B3" s="24"/>
      <c r="C3" s="70" t="s">
        <v>27</v>
      </c>
      <c r="D3" s="70"/>
      <c r="E3" s="70"/>
      <c r="F3" s="70"/>
      <c r="G3" s="70"/>
      <c r="H3" s="24"/>
    </row>
    <row r="4" spans="1:8" s="11" customFormat="1" ht="26.25" customHeight="1" x14ac:dyDescent="0.2">
      <c r="A4" s="71" t="s">
        <v>125</v>
      </c>
      <c r="B4" s="72"/>
      <c r="C4" s="72"/>
      <c r="D4" s="72"/>
      <c r="E4" s="73"/>
      <c r="F4" s="77" t="s">
        <v>7</v>
      </c>
      <c r="G4" s="78"/>
      <c r="H4" s="79"/>
    </row>
    <row r="5" spans="1:8" s="11" customFormat="1" ht="18.75" customHeight="1" x14ac:dyDescent="0.2">
      <c r="A5" s="74"/>
      <c r="B5" s="75"/>
      <c r="C5" s="75"/>
      <c r="D5" s="75"/>
      <c r="E5" s="76"/>
      <c r="F5" s="80">
        <v>204578581</v>
      </c>
      <c r="G5" s="81"/>
      <c r="H5" s="82"/>
    </row>
    <row r="6" spans="1:8" s="11" customFormat="1" ht="22.5" customHeight="1" x14ac:dyDescent="0.2">
      <c r="A6" s="71" t="s">
        <v>8</v>
      </c>
      <c r="B6" s="72"/>
      <c r="C6" s="72"/>
      <c r="D6" s="72"/>
      <c r="E6" s="73"/>
      <c r="F6" s="71" t="s">
        <v>129</v>
      </c>
      <c r="G6" s="83"/>
      <c r="H6" s="84"/>
    </row>
    <row r="7" spans="1:8" s="11" customFormat="1" ht="21.75" customHeight="1" x14ac:dyDescent="0.2">
      <c r="A7" s="80" t="s">
        <v>21</v>
      </c>
      <c r="B7" s="81"/>
      <c r="C7" s="81"/>
      <c r="D7" s="81"/>
      <c r="E7" s="82"/>
      <c r="F7" s="85"/>
      <c r="G7" s="86"/>
      <c r="H7" s="87"/>
    </row>
    <row r="8" spans="1:8" s="11" customFormat="1" ht="21" customHeight="1" x14ac:dyDescent="0.2">
      <c r="A8" s="71" t="s">
        <v>15</v>
      </c>
      <c r="B8" s="72"/>
      <c r="C8" s="72"/>
      <c r="D8" s="72"/>
      <c r="E8" s="72"/>
      <c r="F8" s="72"/>
      <c r="G8" s="72"/>
      <c r="H8" s="73"/>
    </row>
    <row r="9" spans="1:8" s="49" customFormat="1" ht="15.75" customHeight="1" x14ac:dyDescent="0.2">
      <c r="A9" s="88">
        <f>8911881.7-100000</f>
        <v>8811881.6999999993</v>
      </c>
      <c r="B9" s="89"/>
      <c r="C9" s="89"/>
      <c r="D9" s="89"/>
      <c r="E9" s="89"/>
      <c r="F9" s="89"/>
      <c r="G9" s="89"/>
      <c r="H9" s="89"/>
    </row>
    <row r="10" spans="1:8" s="49" customFormat="1" ht="71.25" customHeight="1" x14ac:dyDescent="0.2">
      <c r="A10" s="43" t="s">
        <v>1</v>
      </c>
      <c r="B10" s="43" t="s">
        <v>2</v>
      </c>
      <c r="C10" s="43" t="s">
        <v>3</v>
      </c>
      <c r="D10" s="19" t="s">
        <v>40</v>
      </c>
      <c r="E10" s="43" t="s">
        <v>4</v>
      </c>
      <c r="F10" s="43" t="s">
        <v>5</v>
      </c>
      <c r="G10" s="43" t="s">
        <v>6</v>
      </c>
      <c r="H10" s="43" t="s">
        <v>0</v>
      </c>
    </row>
    <row r="11" spans="1:8" s="49" customFormat="1" ht="15" customHeight="1" x14ac:dyDescent="0.2">
      <c r="A11" s="43">
        <v>1</v>
      </c>
      <c r="B11" s="43">
        <v>2</v>
      </c>
      <c r="C11" s="43">
        <v>3</v>
      </c>
      <c r="D11" s="14">
        <v>4</v>
      </c>
      <c r="E11" s="43">
        <v>5</v>
      </c>
      <c r="F11" s="43">
        <v>6</v>
      </c>
      <c r="G11" s="43">
        <v>7</v>
      </c>
      <c r="H11" s="43">
        <v>8</v>
      </c>
    </row>
    <row r="12" spans="1:8" ht="33.75" customHeight="1" x14ac:dyDescent="0.2">
      <c r="A12" s="43">
        <v>1</v>
      </c>
      <c r="B12" s="15" t="s">
        <v>86</v>
      </c>
      <c r="C12" s="43" t="s">
        <v>87</v>
      </c>
      <c r="D12" s="14">
        <v>87000</v>
      </c>
      <c r="E12" s="43" t="s">
        <v>26</v>
      </c>
      <c r="F12" s="15" t="s">
        <v>12</v>
      </c>
      <c r="G12" s="15" t="s">
        <v>25</v>
      </c>
      <c r="H12" s="16"/>
    </row>
    <row r="13" spans="1:8" ht="34.5" customHeight="1" x14ac:dyDescent="0.2">
      <c r="A13" s="43">
        <v>2</v>
      </c>
      <c r="B13" s="55" t="s">
        <v>36</v>
      </c>
      <c r="C13" s="47" t="s">
        <v>37</v>
      </c>
      <c r="D13" s="14">
        <f>232000+3000</f>
        <v>235000</v>
      </c>
      <c r="E13" s="43" t="s">
        <v>14</v>
      </c>
      <c r="F13" s="15" t="s">
        <v>12</v>
      </c>
      <c r="G13" s="15" t="s">
        <v>25</v>
      </c>
      <c r="H13" s="16" t="s">
        <v>13</v>
      </c>
    </row>
    <row r="14" spans="1:8" ht="34.5" customHeight="1" x14ac:dyDescent="0.2">
      <c r="A14" s="43">
        <v>3</v>
      </c>
      <c r="B14" s="44" t="s">
        <v>65</v>
      </c>
      <c r="C14" s="43" t="s">
        <v>66</v>
      </c>
      <c r="D14" s="14">
        <f>20000-500</f>
        <v>19500</v>
      </c>
      <c r="E14" s="43" t="s">
        <v>26</v>
      </c>
      <c r="F14" s="15" t="s">
        <v>12</v>
      </c>
      <c r="G14" s="15" t="s">
        <v>25</v>
      </c>
      <c r="H14" s="16"/>
    </row>
    <row r="15" spans="1:8" ht="35.25" customHeight="1" x14ac:dyDescent="0.2">
      <c r="A15" s="43">
        <v>4</v>
      </c>
      <c r="B15" s="44">
        <v>15300000</v>
      </c>
      <c r="C15" s="43" t="s">
        <v>93</v>
      </c>
      <c r="D15" s="14">
        <v>500</v>
      </c>
      <c r="E15" s="43" t="s">
        <v>10</v>
      </c>
      <c r="F15" s="15" t="s">
        <v>12</v>
      </c>
      <c r="G15" s="15" t="s">
        <v>25</v>
      </c>
      <c r="H15" s="16" t="s">
        <v>94</v>
      </c>
    </row>
    <row r="16" spans="1:8" ht="39.75" customHeight="1" x14ac:dyDescent="0.2">
      <c r="A16" s="43">
        <v>5</v>
      </c>
      <c r="B16" s="44">
        <v>15800000</v>
      </c>
      <c r="C16" s="43" t="s">
        <v>95</v>
      </c>
      <c r="D16" s="14">
        <f>2000-500</f>
        <v>1500</v>
      </c>
      <c r="E16" s="43" t="s">
        <v>10</v>
      </c>
      <c r="F16" s="15" t="s">
        <v>12</v>
      </c>
      <c r="G16" s="15" t="s">
        <v>25</v>
      </c>
      <c r="H16" s="16" t="s">
        <v>94</v>
      </c>
    </row>
    <row r="17" spans="1:8" s="12" customFormat="1" ht="36" customHeight="1" x14ac:dyDescent="0.2">
      <c r="A17" s="43">
        <v>6</v>
      </c>
      <c r="B17" s="44">
        <v>15900000</v>
      </c>
      <c r="C17" s="43" t="s">
        <v>96</v>
      </c>
      <c r="D17" s="14">
        <v>1500</v>
      </c>
      <c r="E17" s="43" t="s">
        <v>10</v>
      </c>
      <c r="F17" s="15" t="s">
        <v>12</v>
      </c>
      <c r="G17" s="15" t="s">
        <v>25</v>
      </c>
      <c r="H17" s="16" t="s">
        <v>94</v>
      </c>
    </row>
    <row r="18" spans="1:8" ht="48" customHeight="1" x14ac:dyDescent="0.2">
      <c r="A18" s="43">
        <v>7</v>
      </c>
      <c r="B18" s="43">
        <v>18100000</v>
      </c>
      <c r="C18" s="43" t="s">
        <v>84</v>
      </c>
      <c r="D18" s="14">
        <f>3500-325</f>
        <v>3175</v>
      </c>
      <c r="E18" s="43" t="s">
        <v>10</v>
      </c>
      <c r="F18" s="15" t="s">
        <v>12</v>
      </c>
      <c r="G18" s="15" t="s">
        <v>25</v>
      </c>
      <c r="H18" s="16"/>
    </row>
    <row r="19" spans="1:8" ht="39" customHeight="1" x14ac:dyDescent="0.2">
      <c r="A19" s="43">
        <v>8</v>
      </c>
      <c r="B19" s="43">
        <v>18300000</v>
      </c>
      <c r="C19" s="43" t="s">
        <v>97</v>
      </c>
      <c r="D19" s="14">
        <f>1600-15</f>
        <v>1585</v>
      </c>
      <c r="E19" s="43" t="s">
        <v>10</v>
      </c>
      <c r="F19" s="15" t="s">
        <v>12</v>
      </c>
      <c r="G19" s="15" t="s">
        <v>25</v>
      </c>
      <c r="H19" s="16"/>
    </row>
    <row r="20" spans="1:8" ht="33" customHeight="1" x14ac:dyDescent="0.2">
      <c r="A20" s="43">
        <v>9</v>
      </c>
      <c r="B20" s="43">
        <v>18400000</v>
      </c>
      <c r="C20" s="43" t="s">
        <v>71</v>
      </c>
      <c r="D20" s="14">
        <v>1000</v>
      </c>
      <c r="E20" s="43" t="s">
        <v>10</v>
      </c>
      <c r="F20" s="15" t="s">
        <v>12</v>
      </c>
      <c r="G20" s="15" t="s">
        <v>25</v>
      </c>
      <c r="H20" s="16"/>
    </row>
    <row r="21" spans="1:8" ht="39" customHeight="1" x14ac:dyDescent="0.2">
      <c r="A21" s="43">
        <v>10</v>
      </c>
      <c r="B21" s="64">
        <v>18500000</v>
      </c>
      <c r="C21" s="64" t="s">
        <v>98</v>
      </c>
      <c r="D21" s="14">
        <v>594</v>
      </c>
      <c r="E21" s="43" t="s">
        <v>10</v>
      </c>
      <c r="F21" s="15" t="s">
        <v>12</v>
      </c>
      <c r="G21" s="15" t="s">
        <v>25</v>
      </c>
      <c r="H21" s="16" t="s">
        <v>94</v>
      </c>
    </row>
    <row r="22" spans="1:8" ht="39" customHeight="1" x14ac:dyDescent="0.2">
      <c r="A22" s="43">
        <v>11</v>
      </c>
      <c r="B22" s="65"/>
      <c r="C22" s="65"/>
      <c r="D22" s="14">
        <f>4405-15</f>
        <v>4390</v>
      </c>
      <c r="E22" s="43" t="s">
        <v>10</v>
      </c>
      <c r="F22" s="15" t="s">
        <v>12</v>
      </c>
      <c r="G22" s="15" t="s">
        <v>25</v>
      </c>
      <c r="H22" s="16"/>
    </row>
    <row r="23" spans="1:8" ht="38.25" customHeight="1" x14ac:dyDescent="0.2">
      <c r="A23" s="43">
        <v>12</v>
      </c>
      <c r="B23" s="44">
        <v>18900000</v>
      </c>
      <c r="C23" s="43" t="s">
        <v>130</v>
      </c>
      <c r="D23" s="14">
        <v>300</v>
      </c>
      <c r="E23" s="43" t="s">
        <v>10</v>
      </c>
      <c r="F23" s="15" t="s">
        <v>12</v>
      </c>
      <c r="G23" s="15" t="s">
        <v>25</v>
      </c>
      <c r="H23" s="16"/>
    </row>
    <row r="24" spans="1:8" ht="39" customHeight="1" x14ac:dyDescent="0.2">
      <c r="A24" s="43">
        <v>13</v>
      </c>
      <c r="B24" s="43">
        <v>19500000</v>
      </c>
      <c r="C24" s="43" t="s">
        <v>99</v>
      </c>
      <c r="D24" s="14">
        <f>700-340</f>
        <v>360</v>
      </c>
      <c r="E24" s="43" t="s">
        <v>10</v>
      </c>
      <c r="F24" s="15" t="s">
        <v>12</v>
      </c>
      <c r="G24" s="15" t="s">
        <v>25</v>
      </c>
      <c r="H24" s="16"/>
    </row>
    <row r="25" spans="1:8" ht="39" customHeight="1" x14ac:dyDescent="0.2">
      <c r="A25" s="43">
        <v>14</v>
      </c>
      <c r="B25" s="43">
        <v>19600000</v>
      </c>
      <c r="C25" s="43" t="s">
        <v>131</v>
      </c>
      <c r="D25" s="14">
        <f>50-10</f>
        <v>40</v>
      </c>
      <c r="E25" s="43" t="s">
        <v>10</v>
      </c>
      <c r="F25" s="15" t="s">
        <v>12</v>
      </c>
      <c r="G25" s="15" t="s">
        <v>25</v>
      </c>
      <c r="H25" s="16"/>
    </row>
    <row r="26" spans="1:8" ht="46.5" customHeight="1" x14ac:dyDescent="0.2">
      <c r="A26" s="43">
        <v>15</v>
      </c>
      <c r="B26" s="43">
        <v>22400000</v>
      </c>
      <c r="C26" s="43" t="s">
        <v>44</v>
      </c>
      <c r="D26" s="29">
        <f>1400-278.5</f>
        <v>1121.5</v>
      </c>
      <c r="E26" s="43" t="s">
        <v>10</v>
      </c>
      <c r="F26" s="15" t="s">
        <v>12</v>
      </c>
      <c r="G26" s="15" t="s">
        <v>25</v>
      </c>
      <c r="H26" s="16"/>
    </row>
    <row r="27" spans="1:8" ht="49.5" customHeight="1" x14ac:dyDescent="0.2">
      <c r="A27" s="43">
        <v>16</v>
      </c>
      <c r="B27" s="43">
        <v>22800000</v>
      </c>
      <c r="C27" s="43" t="s">
        <v>43</v>
      </c>
      <c r="D27" s="14">
        <f>600-300</f>
        <v>300</v>
      </c>
      <c r="E27" s="43" t="s">
        <v>10</v>
      </c>
      <c r="F27" s="15" t="s">
        <v>12</v>
      </c>
      <c r="G27" s="15" t="s">
        <v>25</v>
      </c>
      <c r="H27" s="16"/>
    </row>
    <row r="28" spans="1:8" ht="34.5" customHeight="1" x14ac:dyDescent="0.2">
      <c r="A28" s="43">
        <v>17</v>
      </c>
      <c r="B28" s="43">
        <v>22900000</v>
      </c>
      <c r="C28" s="43" t="s">
        <v>132</v>
      </c>
      <c r="D28" s="14">
        <v>205</v>
      </c>
      <c r="E28" s="43" t="s">
        <v>10</v>
      </c>
      <c r="F28" s="15" t="s">
        <v>12</v>
      </c>
      <c r="G28" s="15" t="s">
        <v>25</v>
      </c>
      <c r="H28" s="16"/>
    </row>
    <row r="29" spans="1:8" ht="38.25" customHeight="1" x14ac:dyDescent="0.2">
      <c r="A29" s="43">
        <v>18</v>
      </c>
      <c r="B29" s="44">
        <v>24400000</v>
      </c>
      <c r="C29" s="43" t="s">
        <v>78</v>
      </c>
      <c r="D29" s="29">
        <f>33455-178.75</f>
        <v>33276.25</v>
      </c>
      <c r="E29" s="43" t="s">
        <v>26</v>
      </c>
      <c r="F29" s="15" t="s">
        <v>12</v>
      </c>
      <c r="G29" s="15" t="s">
        <v>25</v>
      </c>
      <c r="H29" s="16"/>
    </row>
    <row r="30" spans="1:8" ht="42" customHeight="1" x14ac:dyDescent="0.2">
      <c r="A30" s="43">
        <v>19</v>
      </c>
      <c r="B30" s="64">
        <v>30100000</v>
      </c>
      <c r="C30" s="64" t="s">
        <v>22</v>
      </c>
      <c r="D30" s="52">
        <f>2100-3.5</f>
        <v>2096.5</v>
      </c>
      <c r="E30" s="43" t="s">
        <v>10</v>
      </c>
      <c r="F30" s="15" t="s">
        <v>12</v>
      </c>
      <c r="G30" s="15" t="s">
        <v>25</v>
      </c>
      <c r="H30" s="17"/>
    </row>
    <row r="31" spans="1:8" ht="42.75" customHeight="1" x14ac:dyDescent="0.2">
      <c r="A31" s="43">
        <v>20</v>
      </c>
      <c r="B31" s="65"/>
      <c r="C31" s="65"/>
      <c r="D31" s="26">
        <v>6900</v>
      </c>
      <c r="E31" s="43" t="s">
        <v>14</v>
      </c>
      <c r="F31" s="15" t="s">
        <v>12</v>
      </c>
      <c r="G31" s="15" t="s">
        <v>25</v>
      </c>
      <c r="H31" s="16" t="s">
        <v>13</v>
      </c>
    </row>
    <row r="32" spans="1:8" ht="35.25" customHeight="1" x14ac:dyDescent="0.2">
      <c r="A32" s="43">
        <v>21</v>
      </c>
      <c r="B32" s="64">
        <v>30200000</v>
      </c>
      <c r="C32" s="64" t="s">
        <v>52</v>
      </c>
      <c r="D32" s="27">
        <f>15000-1000-1330</f>
        <v>12670</v>
      </c>
      <c r="E32" s="43" t="s">
        <v>14</v>
      </c>
      <c r="F32" s="15" t="s">
        <v>12</v>
      </c>
      <c r="G32" s="15" t="s">
        <v>25</v>
      </c>
      <c r="H32" s="16" t="s">
        <v>13</v>
      </c>
    </row>
    <row r="33" spans="1:10" ht="35.25" customHeight="1" x14ac:dyDescent="0.2">
      <c r="A33" s="43">
        <v>22</v>
      </c>
      <c r="B33" s="69"/>
      <c r="C33" s="69"/>
      <c r="D33" s="22">
        <f>7200-400</f>
        <v>6800</v>
      </c>
      <c r="E33" s="43" t="s">
        <v>14</v>
      </c>
      <c r="F33" s="15" t="s">
        <v>12</v>
      </c>
      <c r="G33" s="15" t="s">
        <v>25</v>
      </c>
      <c r="H33" s="16" t="s">
        <v>13</v>
      </c>
    </row>
    <row r="34" spans="1:10" ht="36" customHeight="1" x14ac:dyDescent="0.2">
      <c r="A34" s="43">
        <v>23</v>
      </c>
      <c r="B34" s="65"/>
      <c r="C34" s="65"/>
      <c r="D34" s="22">
        <f>4950-1774+1330+400</f>
        <v>4906</v>
      </c>
      <c r="E34" s="43" t="s">
        <v>10</v>
      </c>
      <c r="F34" s="15" t="s">
        <v>12</v>
      </c>
      <c r="G34" s="15" t="s">
        <v>25</v>
      </c>
      <c r="H34" s="16"/>
    </row>
    <row r="35" spans="1:10" ht="36" customHeight="1" x14ac:dyDescent="0.2">
      <c r="A35" s="43">
        <v>24</v>
      </c>
      <c r="B35" s="48">
        <v>31400000</v>
      </c>
      <c r="C35" s="48" t="s">
        <v>133</v>
      </c>
      <c r="D35" s="22">
        <f>4500-36</f>
        <v>4464</v>
      </c>
      <c r="E35" s="43" t="s">
        <v>14</v>
      </c>
      <c r="F35" s="15" t="s">
        <v>134</v>
      </c>
      <c r="G35" s="15" t="s">
        <v>25</v>
      </c>
      <c r="H35" s="16" t="s">
        <v>13</v>
      </c>
    </row>
    <row r="36" spans="1:10" ht="42.75" customHeight="1" x14ac:dyDescent="0.2">
      <c r="A36" s="43">
        <v>25</v>
      </c>
      <c r="B36" s="43">
        <v>31500000</v>
      </c>
      <c r="C36" s="43" t="s">
        <v>58</v>
      </c>
      <c r="D36" s="14">
        <f>16194-389</f>
        <v>15805</v>
      </c>
      <c r="E36" s="43" t="s">
        <v>26</v>
      </c>
      <c r="F36" s="15" t="s">
        <v>12</v>
      </c>
      <c r="G36" s="15" t="s">
        <v>25</v>
      </c>
      <c r="H36" s="16"/>
    </row>
    <row r="37" spans="1:10" ht="41.25" customHeight="1" x14ac:dyDescent="0.2">
      <c r="A37" s="43">
        <v>26</v>
      </c>
      <c r="B37" s="43">
        <v>32400000</v>
      </c>
      <c r="C37" s="43" t="s">
        <v>48</v>
      </c>
      <c r="D37" s="14">
        <f>1685+500</f>
        <v>2185</v>
      </c>
      <c r="E37" s="43" t="s">
        <v>10</v>
      </c>
      <c r="F37" s="15" t="s">
        <v>12</v>
      </c>
      <c r="G37" s="15" t="s">
        <v>25</v>
      </c>
      <c r="H37" s="16"/>
    </row>
    <row r="38" spans="1:10" ht="41.25" customHeight="1" x14ac:dyDescent="0.2">
      <c r="A38" s="43">
        <v>27</v>
      </c>
      <c r="B38" s="43">
        <v>32500000</v>
      </c>
      <c r="C38" s="43" t="s">
        <v>90</v>
      </c>
      <c r="D38" s="14">
        <v>1300</v>
      </c>
      <c r="E38" s="43" t="s">
        <v>10</v>
      </c>
      <c r="F38" s="15" t="s">
        <v>12</v>
      </c>
      <c r="G38" s="15" t="s">
        <v>25</v>
      </c>
      <c r="H38" s="16"/>
    </row>
    <row r="39" spans="1:10" ht="41.25" customHeight="1" x14ac:dyDescent="0.2">
      <c r="A39" s="43">
        <v>28</v>
      </c>
      <c r="B39" s="43">
        <v>33100000</v>
      </c>
      <c r="C39" s="43" t="s">
        <v>135</v>
      </c>
      <c r="D39" s="29">
        <f>1896.5-400</f>
        <v>1496.5</v>
      </c>
      <c r="E39" s="43" t="s">
        <v>10</v>
      </c>
      <c r="F39" s="15" t="s">
        <v>12</v>
      </c>
      <c r="G39" s="15" t="s">
        <v>25</v>
      </c>
      <c r="H39" s="16"/>
    </row>
    <row r="40" spans="1:10" ht="42.75" customHeight="1" x14ac:dyDescent="0.2">
      <c r="A40" s="43">
        <v>29</v>
      </c>
      <c r="B40" s="43">
        <v>33600000</v>
      </c>
      <c r="C40" s="43" t="s">
        <v>100</v>
      </c>
      <c r="D40" s="14">
        <v>1000</v>
      </c>
      <c r="E40" s="43" t="s">
        <v>10</v>
      </c>
      <c r="F40" s="15" t="s">
        <v>12</v>
      </c>
      <c r="G40" s="15" t="s">
        <v>25</v>
      </c>
      <c r="H40" s="43"/>
    </row>
    <row r="41" spans="1:10" ht="37.5" customHeight="1" x14ac:dyDescent="0.2">
      <c r="A41" s="43">
        <v>30</v>
      </c>
      <c r="B41" s="43">
        <v>33700000</v>
      </c>
      <c r="C41" s="43" t="s">
        <v>101</v>
      </c>
      <c r="D41" s="14">
        <f>800-300</f>
        <v>500</v>
      </c>
      <c r="E41" s="43" t="s">
        <v>10</v>
      </c>
      <c r="F41" s="15" t="s">
        <v>12</v>
      </c>
      <c r="G41" s="15" t="s">
        <v>25</v>
      </c>
      <c r="H41" s="43"/>
    </row>
    <row r="42" spans="1:10" ht="39" customHeight="1" x14ac:dyDescent="0.2">
      <c r="A42" s="43">
        <v>31</v>
      </c>
      <c r="B42" s="47">
        <v>34100000</v>
      </c>
      <c r="C42" s="47" t="s">
        <v>51</v>
      </c>
      <c r="D42" s="20">
        <v>51700</v>
      </c>
      <c r="E42" s="43" t="s">
        <v>14</v>
      </c>
      <c r="F42" s="15" t="s">
        <v>12</v>
      </c>
      <c r="G42" s="15" t="s">
        <v>25</v>
      </c>
      <c r="H42" s="16" t="s">
        <v>13</v>
      </c>
    </row>
    <row r="43" spans="1:10" ht="49.5" customHeight="1" x14ac:dyDescent="0.2">
      <c r="A43" s="43">
        <v>32</v>
      </c>
      <c r="B43" s="43">
        <v>34300000</v>
      </c>
      <c r="C43" s="43" t="s">
        <v>38</v>
      </c>
      <c r="D43" s="14">
        <f>35000-12000</f>
        <v>23000</v>
      </c>
      <c r="E43" s="43" t="s">
        <v>14</v>
      </c>
      <c r="F43" s="15" t="s">
        <v>12</v>
      </c>
      <c r="G43" s="15" t="s">
        <v>25</v>
      </c>
      <c r="H43" s="16" t="s">
        <v>13</v>
      </c>
    </row>
    <row r="44" spans="1:10" ht="47.25" customHeight="1" x14ac:dyDescent="0.2">
      <c r="A44" s="43">
        <v>33</v>
      </c>
      <c r="B44" s="43">
        <v>35100000</v>
      </c>
      <c r="C44" s="43" t="s">
        <v>82</v>
      </c>
      <c r="D44" s="14">
        <v>30000</v>
      </c>
      <c r="E44" s="43" t="s">
        <v>26</v>
      </c>
      <c r="F44" s="15" t="s">
        <v>12</v>
      </c>
      <c r="G44" s="15" t="s">
        <v>25</v>
      </c>
      <c r="H44" s="43"/>
    </row>
    <row r="45" spans="1:10" ht="38.25" customHeight="1" x14ac:dyDescent="0.2">
      <c r="A45" s="43">
        <v>34</v>
      </c>
      <c r="B45" s="43">
        <v>35200000</v>
      </c>
      <c r="C45" s="43" t="s">
        <v>102</v>
      </c>
      <c r="D45" s="14">
        <v>5000</v>
      </c>
      <c r="E45" s="43" t="s">
        <v>26</v>
      </c>
      <c r="F45" s="15" t="s">
        <v>12</v>
      </c>
      <c r="G45" s="15" t="s">
        <v>25</v>
      </c>
      <c r="H45" s="43"/>
    </row>
    <row r="46" spans="1:10" ht="41.25" customHeight="1" x14ac:dyDescent="0.2">
      <c r="A46" s="43">
        <v>35</v>
      </c>
      <c r="B46" s="43">
        <v>38400000</v>
      </c>
      <c r="C46" s="43" t="s">
        <v>103</v>
      </c>
      <c r="D46" s="14">
        <f>4480-330</f>
        <v>4150</v>
      </c>
      <c r="E46" s="43" t="s">
        <v>10</v>
      </c>
      <c r="F46" s="15" t="s">
        <v>12</v>
      </c>
      <c r="G46" s="15" t="s">
        <v>25</v>
      </c>
      <c r="H46" s="16"/>
    </row>
    <row r="47" spans="1:10" ht="33" customHeight="1" x14ac:dyDescent="0.2">
      <c r="A47" s="43">
        <v>36</v>
      </c>
      <c r="B47" s="64">
        <v>39100000</v>
      </c>
      <c r="C47" s="64" t="s">
        <v>11</v>
      </c>
      <c r="D47" s="14">
        <f>3340-190</f>
        <v>3150</v>
      </c>
      <c r="E47" s="43" t="s">
        <v>10</v>
      </c>
      <c r="F47" s="15" t="s">
        <v>12</v>
      </c>
      <c r="G47" s="15" t="s">
        <v>25</v>
      </c>
      <c r="H47" s="16"/>
      <c r="J47" s="11"/>
    </row>
    <row r="48" spans="1:10" ht="33.75" customHeight="1" x14ac:dyDescent="0.2">
      <c r="A48" s="43">
        <v>37</v>
      </c>
      <c r="B48" s="65"/>
      <c r="C48" s="65"/>
      <c r="D48" s="20">
        <f>600+1055</f>
        <v>1655</v>
      </c>
      <c r="E48" s="43" t="s">
        <v>10</v>
      </c>
      <c r="F48" s="15" t="s">
        <v>12</v>
      </c>
      <c r="G48" s="15" t="s">
        <v>25</v>
      </c>
      <c r="H48" s="16"/>
      <c r="J48" s="11"/>
    </row>
    <row r="49" spans="1:8" ht="57.75" customHeight="1" x14ac:dyDescent="0.2">
      <c r="A49" s="43">
        <v>38</v>
      </c>
      <c r="B49" s="43">
        <v>39200000</v>
      </c>
      <c r="C49" s="43" t="s">
        <v>88</v>
      </c>
      <c r="D49" s="29">
        <f>4990-211.24</f>
        <v>4778.76</v>
      </c>
      <c r="E49" s="43" t="s">
        <v>10</v>
      </c>
      <c r="F49" s="15" t="s">
        <v>12</v>
      </c>
      <c r="G49" s="15" t="s">
        <v>25</v>
      </c>
      <c r="H49" s="43"/>
    </row>
    <row r="50" spans="1:8" ht="44.25" customHeight="1" x14ac:dyDescent="0.2">
      <c r="A50" s="43">
        <v>39</v>
      </c>
      <c r="B50" s="43">
        <v>39500000</v>
      </c>
      <c r="C50" s="43" t="s">
        <v>104</v>
      </c>
      <c r="D50" s="14">
        <f>14500-800</f>
        <v>13700</v>
      </c>
      <c r="E50" s="43" t="s">
        <v>26</v>
      </c>
      <c r="F50" s="15" t="s">
        <v>12</v>
      </c>
      <c r="G50" s="15" t="s">
        <v>25</v>
      </c>
      <c r="H50" s="43"/>
    </row>
    <row r="51" spans="1:8" ht="46.5" customHeight="1" x14ac:dyDescent="0.2">
      <c r="A51" s="43">
        <v>40</v>
      </c>
      <c r="B51" s="43">
        <v>41100000</v>
      </c>
      <c r="C51" s="43" t="s">
        <v>136</v>
      </c>
      <c r="D51" s="29">
        <f>720</f>
        <v>720</v>
      </c>
      <c r="E51" s="43" t="s">
        <v>10</v>
      </c>
      <c r="F51" s="15" t="s">
        <v>12</v>
      </c>
      <c r="G51" s="15" t="s">
        <v>25</v>
      </c>
      <c r="H51" s="16"/>
    </row>
    <row r="52" spans="1:8" ht="42.75" customHeight="1" x14ac:dyDescent="0.2">
      <c r="A52" s="43">
        <v>41</v>
      </c>
      <c r="B52" s="43">
        <v>42100000</v>
      </c>
      <c r="C52" s="43" t="s">
        <v>105</v>
      </c>
      <c r="D52" s="14">
        <f>500-190</f>
        <v>310</v>
      </c>
      <c r="E52" s="43" t="s">
        <v>10</v>
      </c>
      <c r="F52" s="15" t="s">
        <v>12</v>
      </c>
      <c r="G52" s="15" t="s">
        <v>25</v>
      </c>
      <c r="H52" s="16"/>
    </row>
    <row r="53" spans="1:8" ht="45" customHeight="1" x14ac:dyDescent="0.2">
      <c r="A53" s="43">
        <v>42</v>
      </c>
      <c r="B53" s="64">
        <v>42500000</v>
      </c>
      <c r="C53" s="64" t="s">
        <v>85</v>
      </c>
      <c r="D53" s="14">
        <f>1000+230</f>
        <v>1230</v>
      </c>
      <c r="E53" s="43" t="s">
        <v>10</v>
      </c>
      <c r="F53" s="15" t="s">
        <v>12</v>
      </c>
      <c r="G53" s="15" t="s">
        <v>25</v>
      </c>
      <c r="H53" s="16"/>
    </row>
    <row r="54" spans="1:8" ht="45" customHeight="1" x14ac:dyDescent="0.2">
      <c r="A54" s="43">
        <v>43</v>
      </c>
      <c r="B54" s="65"/>
      <c r="C54" s="65"/>
      <c r="D54" s="20">
        <v>1000</v>
      </c>
      <c r="E54" s="43" t="s">
        <v>10</v>
      </c>
      <c r="F54" s="15" t="s">
        <v>12</v>
      </c>
      <c r="G54" s="15" t="s">
        <v>25</v>
      </c>
      <c r="H54" s="16"/>
    </row>
    <row r="55" spans="1:8" ht="43.5" customHeight="1" x14ac:dyDescent="0.2">
      <c r="A55" s="43">
        <v>44</v>
      </c>
      <c r="B55" s="43">
        <v>42600000</v>
      </c>
      <c r="C55" s="43" t="s">
        <v>77</v>
      </c>
      <c r="D55" s="14">
        <f>18000-3000</f>
        <v>15000</v>
      </c>
      <c r="E55" s="43" t="s">
        <v>26</v>
      </c>
      <c r="F55" s="15" t="s">
        <v>12</v>
      </c>
      <c r="G55" s="15" t="s">
        <v>25</v>
      </c>
      <c r="H55" s="16"/>
    </row>
    <row r="56" spans="1:8" ht="45.75" customHeight="1" x14ac:dyDescent="0.2">
      <c r="A56" s="43">
        <v>45</v>
      </c>
      <c r="B56" s="43">
        <v>44100000</v>
      </c>
      <c r="C56" s="43" t="s">
        <v>106</v>
      </c>
      <c r="D56" s="29">
        <f>2280-279.65</f>
        <v>2000.35</v>
      </c>
      <c r="E56" s="43" t="s">
        <v>10</v>
      </c>
      <c r="F56" s="15" t="s">
        <v>12</v>
      </c>
      <c r="G56" s="15" t="s">
        <v>25</v>
      </c>
      <c r="H56" s="16"/>
    </row>
    <row r="57" spans="1:8" s="12" customFormat="1" ht="42.75" customHeight="1" x14ac:dyDescent="0.2">
      <c r="A57" s="43">
        <v>46</v>
      </c>
      <c r="B57" s="45">
        <v>44200000</v>
      </c>
      <c r="C57" s="43" t="s">
        <v>107</v>
      </c>
      <c r="D57" s="56">
        <f>3500-36.99</f>
        <v>3463.01</v>
      </c>
      <c r="E57" s="43" t="s">
        <v>10</v>
      </c>
      <c r="F57" s="15" t="s">
        <v>12</v>
      </c>
      <c r="G57" s="15" t="s">
        <v>25</v>
      </c>
      <c r="H57" s="16" t="s">
        <v>62</v>
      </c>
    </row>
    <row r="58" spans="1:8" ht="51" customHeight="1" x14ac:dyDescent="0.2">
      <c r="A58" s="43">
        <v>47</v>
      </c>
      <c r="B58" s="48">
        <v>44300000</v>
      </c>
      <c r="C58" s="48" t="s">
        <v>108</v>
      </c>
      <c r="D58" s="14">
        <v>8000</v>
      </c>
      <c r="E58" s="43" t="s">
        <v>26</v>
      </c>
      <c r="F58" s="15" t="s">
        <v>12</v>
      </c>
      <c r="G58" s="15" t="s">
        <v>25</v>
      </c>
      <c r="H58" s="16"/>
    </row>
    <row r="59" spans="1:8" ht="51" customHeight="1" x14ac:dyDescent="0.2">
      <c r="A59" s="43">
        <v>48</v>
      </c>
      <c r="B59" s="47">
        <v>44400000</v>
      </c>
      <c r="C59" s="47" t="s">
        <v>47</v>
      </c>
      <c r="D59" s="14">
        <f>4995-3240</f>
        <v>1755</v>
      </c>
      <c r="E59" s="43" t="s">
        <v>10</v>
      </c>
      <c r="F59" s="15" t="s">
        <v>12</v>
      </c>
      <c r="G59" s="15" t="s">
        <v>25</v>
      </c>
      <c r="H59" s="16"/>
    </row>
    <row r="60" spans="1:8" s="12" customFormat="1" ht="49.5" customHeight="1" x14ac:dyDescent="0.2">
      <c r="A60" s="43">
        <v>49</v>
      </c>
      <c r="B60" s="45">
        <v>44500000</v>
      </c>
      <c r="C60" s="43" t="s">
        <v>73</v>
      </c>
      <c r="D60" s="29">
        <f>4983-479.43</f>
        <v>4503.57</v>
      </c>
      <c r="E60" s="43" t="s">
        <v>10</v>
      </c>
      <c r="F60" s="15" t="s">
        <v>12</v>
      </c>
      <c r="G60" s="15" t="s">
        <v>25</v>
      </c>
      <c r="H60" s="43"/>
    </row>
    <row r="61" spans="1:8" ht="43.5" customHeight="1" x14ac:dyDescent="0.2">
      <c r="A61" s="43">
        <v>50</v>
      </c>
      <c r="B61" s="43">
        <v>44800000</v>
      </c>
      <c r="C61" s="43" t="s">
        <v>109</v>
      </c>
      <c r="D61" s="14">
        <f>3000</f>
        <v>3000</v>
      </c>
      <c r="E61" s="43" t="s">
        <v>10</v>
      </c>
      <c r="F61" s="15" t="s">
        <v>12</v>
      </c>
      <c r="G61" s="15" t="s">
        <v>25</v>
      </c>
      <c r="H61" s="16"/>
    </row>
    <row r="62" spans="1:8" ht="38.25" customHeight="1" x14ac:dyDescent="0.2">
      <c r="A62" s="43">
        <v>51</v>
      </c>
      <c r="B62" s="43">
        <v>45200000</v>
      </c>
      <c r="C62" s="43" t="s">
        <v>53</v>
      </c>
      <c r="D62" s="14">
        <f>760-350</f>
        <v>410</v>
      </c>
      <c r="E62" s="43" t="s">
        <v>10</v>
      </c>
      <c r="F62" s="15" t="s">
        <v>12</v>
      </c>
      <c r="G62" s="15" t="s">
        <v>25</v>
      </c>
      <c r="H62" s="16"/>
    </row>
    <row r="63" spans="1:8" ht="46.5" customHeight="1" x14ac:dyDescent="0.2">
      <c r="A63" s="43">
        <v>52</v>
      </c>
      <c r="B63" s="43">
        <v>45300000</v>
      </c>
      <c r="C63" s="43" t="s">
        <v>110</v>
      </c>
      <c r="D63" s="29">
        <f>1500-27.75</f>
        <v>1472.25</v>
      </c>
      <c r="E63" s="43" t="s">
        <v>10</v>
      </c>
      <c r="F63" s="15" t="s">
        <v>12</v>
      </c>
      <c r="G63" s="15" t="s">
        <v>25</v>
      </c>
      <c r="H63" s="16"/>
    </row>
    <row r="64" spans="1:8" s="12" customFormat="1" ht="42.75" customHeight="1" x14ac:dyDescent="0.2">
      <c r="A64" s="43">
        <v>53</v>
      </c>
      <c r="B64" s="47">
        <v>45400000</v>
      </c>
      <c r="C64" s="47" t="s">
        <v>111</v>
      </c>
      <c r="D64" s="20">
        <v>79845</v>
      </c>
      <c r="E64" s="43" t="s">
        <v>26</v>
      </c>
      <c r="F64" s="15" t="s">
        <v>12</v>
      </c>
      <c r="G64" s="15" t="s">
        <v>25</v>
      </c>
      <c r="H64" s="43"/>
    </row>
    <row r="65" spans="1:8" s="12" customFormat="1" ht="36" customHeight="1" x14ac:dyDescent="0.2">
      <c r="A65" s="43">
        <v>54</v>
      </c>
      <c r="B65" s="45">
        <v>48400000</v>
      </c>
      <c r="C65" s="43" t="s">
        <v>137</v>
      </c>
      <c r="D65" s="56">
        <f>15000-328.99</f>
        <v>14671.01</v>
      </c>
      <c r="E65" s="43" t="s">
        <v>10</v>
      </c>
      <c r="F65" s="15" t="s">
        <v>12</v>
      </c>
      <c r="G65" s="15" t="s">
        <v>25</v>
      </c>
      <c r="H65" s="16" t="s">
        <v>18</v>
      </c>
    </row>
    <row r="66" spans="1:8" ht="40.5" customHeight="1" x14ac:dyDescent="0.2">
      <c r="A66" s="43">
        <v>55</v>
      </c>
      <c r="B66" s="61">
        <v>50100000</v>
      </c>
      <c r="C66" s="61" t="s">
        <v>23</v>
      </c>
      <c r="D66" s="29">
        <f>92997.49-1997.49</f>
        <v>91000</v>
      </c>
      <c r="E66" s="43" t="s">
        <v>10</v>
      </c>
      <c r="F66" s="15" t="s">
        <v>12</v>
      </c>
      <c r="G66" s="15" t="s">
        <v>25</v>
      </c>
      <c r="H66" s="16" t="s">
        <v>59</v>
      </c>
    </row>
    <row r="67" spans="1:8" ht="47.25" customHeight="1" x14ac:dyDescent="0.2">
      <c r="A67" s="43">
        <v>56</v>
      </c>
      <c r="B67" s="61"/>
      <c r="C67" s="61"/>
      <c r="D67" s="14">
        <f>480900-400</f>
        <v>480500</v>
      </c>
      <c r="E67" s="43" t="s">
        <v>26</v>
      </c>
      <c r="F67" s="15" t="s">
        <v>12</v>
      </c>
      <c r="G67" s="15" t="s">
        <v>25</v>
      </c>
      <c r="H67" s="16"/>
    </row>
    <row r="68" spans="1:8" ht="69" customHeight="1" x14ac:dyDescent="0.2">
      <c r="A68" s="43">
        <v>57</v>
      </c>
      <c r="B68" s="43">
        <v>50300000</v>
      </c>
      <c r="C68" s="43" t="s">
        <v>46</v>
      </c>
      <c r="D68" s="14">
        <f>2500-500</f>
        <v>2000</v>
      </c>
      <c r="E68" s="43" t="s">
        <v>10</v>
      </c>
      <c r="F68" s="15" t="s">
        <v>12</v>
      </c>
      <c r="G68" s="15" t="s">
        <v>25</v>
      </c>
      <c r="H68" s="16"/>
    </row>
    <row r="69" spans="1:8" ht="61.5" customHeight="1" x14ac:dyDescent="0.2">
      <c r="A69" s="43">
        <v>58</v>
      </c>
      <c r="B69" s="43">
        <v>50500000</v>
      </c>
      <c r="C69" s="43" t="s">
        <v>112</v>
      </c>
      <c r="D69" s="14">
        <v>1000</v>
      </c>
      <c r="E69" s="43" t="s">
        <v>10</v>
      </c>
      <c r="F69" s="15" t="s">
        <v>12</v>
      </c>
      <c r="G69" s="15" t="s">
        <v>25</v>
      </c>
      <c r="H69" s="16"/>
    </row>
    <row r="70" spans="1:8" ht="42" customHeight="1" x14ac:dyDescent="0.2">
      <c r="A70" s="43">
        <v>59</v>
      </c>
      <c r="B70" s="43">
        <v>50700000</v>
      </c>
      <c r="C70" s="43" t="s">
        <v>49</v>
      </c>
      <c r="D70" s="14">
        <f>4000-1781</f>
        <v>2219</v>
      </c>
      <c r="E70" s="43" t="s">
        <v>10</v>
      </c>
      <c r="F70" s="15" t="s">
        <v>12</v>
      </c>
      <c r="G70" s="15" t="s">
        <v>25</v>
      </c>
      <c r="H70" s="16"/>
    </row>
    <row r="71" spans="1:8" s="12" customFormat="1" ht="36" customHeight="1" x14ac:dyDescent="0.2">
      <c r="A71" s="43">
        <v>60</v>
      </c>
      <c r="B71" s="44">
        <v>55500000</v>
      </c>
      <c r="C71" s="43" t="s">
        <v>138</v>
      </c>
      <c r="D71" s="14">
        <f>1800+1500</f>
        <v>3300</v>
      </c>
      <c r="E71" s="43" t="s">
        <v>10</v>
      </c>
      <c r="F71" s="15" t="s">
        <v>12</v>
      </c>
      <c r="G71" s="15" t="s">
        <v>25</v>
      </c>
      <c r="H71" s="16" t="s">
        <v>94</v>
      </c>
    </row>
    <row r="72" spans="1:8" ht="42" customHeight="1" x14ac:dyDescent="0.2">
      <c r="A72" s="43">
        <v>61</v>
      </c>
      <c r="B72" s="43">
        <v>63100000</v>
      </c>
      <c r="C72" s="43" t="s">
        <v>50</v>
      </c>
      <c r="D72" s="14">
        <f>885000-1000-600000</f>
        <v>284000</v>
      </c>
      <c r="E72" s="43" t="s">
        <v>26</v>
      </c>
      <c r="F72" s="15" t="s">
        <v>12</v>
      </c>
      <c r="G72" s="15" t="s">
        <v>25</v>
      </c>
      <c r="H72" s="16"/>
    </row>
    <row r="73" spans="1:8" ht="39" customHeight="1" x14ac:dyDescent="0.2">
      <c r="A73" s="43">
        <v>62</v>
      </c>
      <c r="B73" s="61">
        <v>64200000</v>
      </c>
      <c r="C73" s="64" t="s">
        <v>113</v>
      </c>
      <c r="D73" s="14">
        <f>800-190</f>
        <v>610</v>
      </c>
      <c r="E73" s="43" t="s">
        <v>10</v>
      </c>
      <c r="F73" s="15" t="s">
        <v>12</v>
      </c>
      <c r="G73" s="15" t="s">
        <v>25</v>
      </c>
      <c r="H73" s="16"/>
    </row>
    <row r="74" spans="1:8" ht="39" customHeight="1" x14ac:dyDescent="0.2">
      <c r="A74" s="43">
        <v>63</v>
      </c>
      <c r="B74" s="61"/>
      <c r="C74" s="65"/>
      <c r="D74" s="14">
        <f>4000+500</f>
        <v>4500</v>
      </c>
      <c r="E74" s="43" t="s">
        <v>10</v>
      </c>
      <c r="F74" s="15" t="s">
        <v>12</v>
      </c>
      <c r="G74" s="15" t="s">
        <v>25</v>
      </c>
      <c r="H74" s="16" t="s">
        <v>139</v>
      </c>
    </row>
    <row r="75" spans="1:8" ht="39" customHeight="1" x14ac:dyDescent="0.2">
      <c r="A75" s="43">
        <v>64</v>
      </c>
      <c r="B75" s="43">
        <v>66100000</v>
      </c>
      <c r="C75" s="43" t="s">
        <v>114</v>
      </c>
      <c r="D75" s="14">
        <f>325-325</f>
        <v>0</v>
      </c>
      <c r="E75" s="43" t="s">
        <v>10</v>
      </c>
      <c r="F75" s="15" t="s">
        <v>12</v>
      </c>
      <c r="G75" s="15" t="s">
        <v>25</v>
      </c>
      <c r="H75" s="16"/>
    </row>
    <row r="76" spans="1:8" ht="48.75" customHeight="1" x14ac:dyDescent="0.2">
      <c r="A76" s="43">
        <v>65</v>
      </c>
      <c r="B76" s="43">
        <v>71600000</v>
      </c>
      <c r="C76" s="43" t="s">
        <v>63</v>
      </c>
      <c r="D76" s="14">
        <v>4000</v>
      </c>
      <c r="E76" s="43" t="s">
        <v>10</v>
      </c>
      <c r="F76" s="15" t="s">
        <v>12</v>
      </c>
      <c r="G76" s="15" t="s">
        <v>25</v>
      </c>
      <c r="H76" s="16" t="s">
        <v>17</v>
      </c>
    </row>
    <row r="77" spans="1:8" ht="39" customHeight="1" x14ac:dyDescent="0.2">
      <c r="A77" s="43">
        <v>66</v>
      </c>
      <c r="B77" s="43">
        <v>71900000</v>
      </c>
      <c r="C77" s="43" t="s">
        <v>115</v>
      </c>
      <c r="D77" s="14">
        <v>2000</v>
      </c>
      <c r="E77" s="43" t="s">
        <v>10</v>
      </c>
      <c r="F77" s="15" t="s">
        <v>12</v>
      </c>
      <c r="G77" s="15" t="s">
        <v>25</v>
      </c>
      <c r="H77" s="43"/>
    </row>
    <row r="78" spans="1:8" ht="38.25" customHeight="1" x14ac:dyDescent="0.2">
      <c r="A78" s="43">
        <v>67</v>
      </c>
      <c r="B78" s="91">
        <v>7220000</v>
      </c>
      <c r="C78" s="64" t="s">
        <v>24</v>
      </c>
      <c r="D78" s="14">
        <f>96170-5130</f>
        <v>91040</v>
      </c>
      <c r="E78" s="43" t="s">
        <v>10</v>
      </c>
      <c r="F78" s="15" t="s">
        <v>12</v>
      </c>
      <c r="G78" s="15" t="s">
        <v>25</v>
      </c>
      <c r="H78" s="16" t="s">
        <v>17</v>
      </c>
    </row>
    <row r="79" spans="1:8" ht="39" customHeight="1" x14ac:dyDescent="0.2">
      <c r="A79" s="43">
        <v>68</v>
      </c>
      <c r="B79" s="92"/>
      <c r="C79" s="65"/>
      <c r="D79" s="14">
        <f>1000-550</f>
        <v>450</v>
      </c>
      <c r="E79" s="43" t="s">
        <v>10</v>
      </c>
      <c r="F79" s="15" t="s">
        <v>12</v>
      </c>
      <c r="G79" s="15" t="s">
        <v>25</v>
      </c>
      <c r="H79" s="16"/>
    </row>
    <row r="80" spans="1:8" ht="38.25" customHeight="1" x14ac:dyDescent="0.2">
      <c r="A80" s="43">
        <v>69</v>
      </c>
      <c r="B80" s="43">
        <v>72400000</v>
      </c>
      <c r="C80" s="43" t="s">
        <v>31</v>
      </c>
      <c r="D80" s="14">
        <v>1410</v>
      </c>
      <c r="E80" s="43" t="s">
        <v>33</v>
      </c>
      <c r="F80" s="15" t="s">
        <v>12</v>
      </c>
      <c r="G80" s="15" t="s">
        <v>25</v>
      </c>
      <c r="H80" s="16"/>
    </row>
    <row r="81" spans="1:8" ht="37.5" customHeight="1" x14ac:dyDescent="0.2">
      <c r="A81" s="43">
        <v>70</v>
      </c>
      <c r="B81" s="64">
        <v>75100000</v>
      </c>
      <c r="C81" s="64" t="s">
        <v>57</v>
      </c>
      <c r="D81" s="14">
        <f>5000-2000</f>
        <v>3000</v>
      </c>
      <c r="E81" s="43" t="s">
        <v>10</v>
      </c>
      <c r="F81" s="15" t="s">
        <v>12</v>
      </c>
      <c r="G81" s="15" t="s">
        <v>25</v>
      </c>
      <c r="H81" s="16" t="s">
        <v>17</v>
      </c>
    </row>
    <row r="82" spans="1:8" ht="35.25" customHeight="1" x14ac:dyDescent="0.2">
      <c r="A82" s="43">
        <v>71</v>
      </c>
      <c r="B82" s="65"/>
      <c r="C82" s="65"/>
      <c r="D82" s="20">
        <v>2500</v>
      </c>
      <c r="E82" s="43" t="s">
        <v>10</v>
      </c>
      <c r="F82" s="15" t="s">
        <v>12</v>
      </c>
      <c r="G82" s="15" t="s">
        <v>25</v>
      </c>
      <c r="H82" s="16" t="s">
        <v>17</v>
      </c>
    </row>
    <row r="83" spans="1:8" ht="44.25" customHeight="1" x14ac:dyDescent="0.2">
      <c r="A83" s="43">
        <v>72</v>
      </c>
      <c r="B83" s="43">
        <v>77200000</v>
      </c>
      <c r="C83" s="43" t="s">
        <v>28</v>
      </c>
      <c r="D83" s="14">
        <f>7118500-100000</f>
        <v>7018500</v>
      </c>
      <c r="E83" s="43" t="s">
        <v>26</v>
      </c>
      <c r="F83" s="15" t="s">
        <v>12</v>
      </c>
      <c r="G83" s="15" t="s">
        <v>25</v>
      </c>
      <c r="H83" s="16" t="s">
        <v>116</v>
      </c>
    </row>
    <row r="84" spans="1:8" ht="38.25" customHeight="1" x14ac:dyDescent="0.2">
      <c r="A84" s="43">
        <v>73</v>
      </c>
      <c r="B84" s="43">
        <v>79700000</v>
      </c>
      <c r="C84" s="43" t="s">
        <v>29</v>
      </c>
      <c r="D84" s="14">
        <v>7000</v>
      </c>
      <c r="E84" s="43" t="s">
        <v>10</v>
      </c>
      <c r="F84" s="15" t="s">
        <v>12</v>
      </c>
      <c r="G84" s="15" t="s">
        <v>25</v>
      </c>
      <c r="H84" s="16" t="s">
        <v>18</v>
      </c>
    </row>
    <row r="85" spans="1:8" ht="39" customHeight="1" x14ac:dyDescent="0.2">
      <c r="A85" s="43">
        <v>74</v>
      </c>
      <c r="B85" s="43">
        <v>79900000</v>
      </c>
      <c r="C85" s="43" t="s">
        <v>117</v>
      </c>
      <c r="D85" s="14">
        <f>4000-1000</f>
        <v>3000</v>
      </c>
      <c r="E85" s="43" t="s">
        <v>10</v>
      </c>
      <c r="F85" s="15" t="s">
        <v>12</v>
      </c>
      <c r="G85" s="15" t="s">
        <v>25</v>
      </c>
      <c r="H85" s="16" t="s">
        <v>17</v>
      </c>
    </row>
    <row r="86" spans="1:8" ht="39" customHeight="1" x14ac:dyDescent="0.2">
      <c r="A86" s="43">
        <v>75</v>
      </c>
      <c r="B86" s="43">
        <v>80500000</v>
      </c>
      <c r="C86" s="43" t="s">
        <v>140</v>
      </c>
      <c r="D86" s="14">
        <f>2660+630</f>
        <v>3290</v>
      </c>
      <c r="E86" s="43" t="s">
        <v>10</v>
      </c>
      <c r="F86" s="15" t="s">
        <v>141</v>
      </c>
      <c r="G86" s="15" t="s">
        <v>141</v>
      </c>
      <c r="H86" s="16"/>
    </row>
    <row r="87" spans="1:8" ht="40.5" customHeight="1" x14ac:dyDescent="0.2">
      <c r="A87" s="43">
        <v>76</v>
      </c>
      <c r="B87" s="43">
        <v>90400000</v>
      </c>
      <c r="C87" s="43" t="s">
        <v>118</v>
      </c>
      <c r="D87" s="14">
        <f>420-260</f>
        <v>160</v>
      </c>
      <c r="E87" s="43" t="s">
        <v>10</v>
      </c>
      <c r="F87" s="15" t="s">
        <v>12</v>
      </c>
      <c r="G87" s="15" t="s">
        <v>25</v>
      </c>
      <c r="H87" s="16"/>
    </row>
    <row r="88" spans="1:8" ht="48" customHeight="1" x14ac:dyDescent="0.2">
      <c r="A88" s="43">
        <v>77</v>
      </c>
      <c r="B88" s="43">
        <v>90600000</v>
      </c>
      <c r="C88" s="43" t="s">
        <v>119</v>
      </c>
      <c r="D88" s="14">
        <f>73000-56000</f>
        <v>17000</v>
      </c>
      <c r="E88" s="43" t="s">
        <v>26</v>
      </c>
      <c r="F88" s="15" t="s">
        <v>12</v>
      </c>
      <c r="G88" s="15" t="s">
        <v>25</v>
      </c>
      <c r="H88" s="16"/>
    </row>
    <row r="89" spans="1:8" ht="35.25" customHeight="1" x14ac:dyDescent="0.2">
      <c r="A89" s="43">
        <v>78</v>
      </c>
      <c r="B89" s="43">
        <v>90900000</v>
      </c>
      <c r="C89" s="43" t="s">
        <v>91</v>
      </c>
      <c r="D89" s="14">
        <f>62000-50</f>
        <v>61950</v>
      </c>
      <c r="E89" s="43" t="s">
        <v>26</v>
      </c>
      <c r="F89" s="15" t="s">
        <v>12</v>
      </c>
      <c r="G89" s="15" t="s">
        <v>25</v>
      </c>
      <c r="H89" s="16"/>
    </row>
    <row r="90" spans="1:8" ht="36.75" customHeight="1" x14ac:dyDescent="0.2">
      <c r="A90" s="43">
        <v>79</v>
      </c>
      <c r="B90" s="43">
        <v>98300000</v>
      </c>
      <c r="C90" s="43" t="s">
        <v>120</v>
      </c>
      <c r="D90" s="29">
        <f>1491.49-22.49</f>
        <v>1469</v>
      </c>
      <c r="E90" s="43" t="s">
        <v>10</v>
      </c>
      <c r="F90" s="15" t="s">
        <v>12</v>
      </c>
      <c r="G90" s="15" t="s">
        <v>25</v>
      </c>
      <c r="H90" s="16"/>
    </row>
    <row r="91" spans="1:8" x14ac:dyDescent="0.2">
      <c r="C91" s="28"/>
      <c r="D91" s="32"/>
    </row>
    <row r="92" spans="1:8" ht="15.75" customHeight="1" x14ac:dyDescent="0.2">
      <c r="C92" s="46"/>
      <c r="D92" s="57"/>
    </row>
    <row r="93" spans="1:8" ht="17.25" customHeight="1" x14ac:dyDescent="0.2">
      <c r="A93" s="2"/>
      <c r="B93" s="4"/>
      <c r="C93" s="5"/>
      <c r="D93" s="6"/>
      <c r="E93" s="3"/>
      <c r="F93" s="3"/>
      <c r="G93" s="3"/>
      <c r="H93" s="7"/>
    </row>
    <row r="94" spans="1:8" ht="27.75" customHeight="1" x14ac:dyDescent="0.2">
      <c r="A94" s="24"/>
      <c r="B94" s="59" t="s">
        <v>142</v>
      </c>
      <c r="C94" s="59"/>
    </row>
    <row r="95" spans="1:8" ht="13.5" customHeight="1" x14ac:dyDescent="0.2">
      <c r="A95" s="24"/>
      <c r="B95" s="24"/>
      <c r="D95" s="8"/>
      <c r="E95" s="60" t="s">
        <v>9</v>
      </c>
      <c r="F95" s="60"/>
    </row>
    <row r="96" spans="1:8" ht="20.25" customHeight="1" x14ac:dyDescent="0.2">
      <c r="A96" s="24"/>
      <c r="B96" s="24"/>
    </row>
    <row r="97" spans="1:6" x14ac:dyDescent="0.2">
      <c r="A97" s="24"/>
      <c r="B97" s="24"/>
    </row>
    <row r="98" spans="1:6" ht="48" customHeight="1" x14ac:dyDescent="0.2">
      <c r="A98" s="24"/>
      <c r="B98" s="58"/>
      <c r="C98" s="58"/>
      <c r="D98" s="50"/>
    </row>
    <row r="99" spans="1:6" ht="13.5" customHeight="1" x14ac:dyDescent="0.2">
      <c r="A99" s="24"/>
      <c r="B99" s="59" t="s">
        <v>20</v>
      </c>
      <c r="C99" s="59"/>
      <c r="D99" s="51"/>
    </row>
    <row r="100" spans="1:6" x14ac:dyDescent="0.2">
      <c r="A100" s="24"/>
      <c r="B100" s="24"/>
      <c r="E100" s="60" t="s">
        <v>9</v>
      </c>
      <c r="F100" s="60"/>
    </row>
    <row r="101" spans="1:6" ht="16.5" customHeight="1" x14ac:dyDescent="0.2">
      <c r="A101" s="24"/>
      <c r="B101" s="24"/>
    </row>
  </sheetData>
  <mergeCells count="32">
    <mergeCell ref="C3:G3"/>
    <mergeCell ref="A4:E5"/>
    <mergeCell ref="F4:H4"/>
    <mergeCell ref="F5:H5"/>
    <mergeCell ref="A6:E6"/>
    <mergeCell ref="F6:H7"/>
    <mergeCell ref="A7:E7"/>
    <mergeCell ref="B81:B82"/>
    <mergeCell ref="C81:C82"/>
    <mergeCell ref="B53:B54"/>
    <mergeCell ref="C53:C54"/>
    <mergeCell ref="A8:H8"/>
    <mergeCell ref="A9:H9"/>
    <mergeCell ref="B21:B22"/>
    <mergeCell ref="C21:C22"/>
    <mergeCell ref="B66:B67"/>
    <mergeCell ref="C66:C67"/>
    <mergeCell ref="B73:B74"/>
    <mergeCell ref="C73:C74"/>
    <mergeCell ref="B78:B79"/>
    <mergeCell ref="C78:C79"/>
    <mergeCell ref="B30:B31"/>
    <mergeCell ref="C30:C31"/>
    <mergeCell ref="B32:B34"/>
    <mergeCell ref="C32:C34"/>
    <mergeCell ref="B47:B48"/>
    <mergeCell ref="C47:C48"/>
    <mergeCell ref="B94:C94"/>
    <mergeCell ref="E95:F95"/>
    <mergeCell ref="B98:C98"/>
    <mergeCell ref="B99:C99"/>
    <mergeCell ref="E100:F100"/>
  </mergeCells>
  <pageMargins left="0.7" right="0.7" top="0.75" bottom="0.75" header="0.3" footer="0.3"/>
  <pageSetup scale="79" orientation="landscape" r:id="rId1"/>
  <rowBreaks count="1" manualBreakCount="1">
    <brk id="79" max="7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2"/>
  <sheetViews>
    <sheetView view="pageBreakPreview" zoomScale="130" zoomScaleNormal="130" zoomScaleSheetLayoutView="130" workbookViewId="0">
      <selection activeCell="A8" sqref="A8:H8"/>
    </sheetView>
  </sheetViews>
  <sheetFormatPr defaultRowHeight="13.5" x14ac:dyDescent="0.2"/>
  <cols>
    <col min="1" max="1" width="3.85546875" style="12" customWidth="1"/>
    <col min="2" max="2" width="10" style="49" customWidth="1"/>
    <col min="3" max="3" width="53.7109375" style="24" customWidth="1"/>
    <col min="4" max="4" width="11.5703125" style="1" customWidth="1"/>
    <col min="5" max="5" width="10.42578125" style="24" customWidth="1"/>
    <col min="6" max="6" width="11.85546875" style="24" customWidth="1"/>
    <col min="7" max="7" width="10.7109375" style="24" customWidth="1"/>
    <col min="8" max="8" width="32" style="24" customWidth="1"/>
    <col min="9" max="16384" width="9.140625" style="24"/>
  </cols>
  <sheetData>
    <row r="1" spans="1:8" ht="18" customHeight="1" x14ac:dyDescent="0.2"/>
    <row r="2" spans="1:8" ht="13.5" customHeight="1" x14ac:dyDescent="0.2">
      <c r="B2" s="24"/>
      <c r="H2" s="18" t="s">
        <v>121</v>
      </c>
    </row>
    <row r="3" spans="1:8" ht="20.25" customHeight="1" x14ac:dyDescent="0.2">
      <c r="B3" s="24"/>
      <c r="C3" s="70" t="s">
        <v>122</v>
      </c>
      <c r="D3" s="70"/>
      <c r="E3" s="70"/>
      <c r="F3" s="70"/>
      <c r="G3" s="70"/>
    </row>
    <row r="4" spans="1:8" ht="26.25" customHeight="1" x14ac:dyDescent="0.2">
      <c r="A4" s="71" t="s">
        <v>143</v>
      </c>
      <c r="B4" s="72"/>
      <c r="C4" s="72"/>
      <c r="D4" s="72"/>
      <c r="E4" s="73"/>
      <c r="F4" s="77" t="s">
        <v>7</v>
      </c>
      <c r="G4" s="78"/>
      <c r="H4" s="79"/>
    </row>
    <row r="5" spans="1:8" ht="18.75" customHeight="1" x14ac:dyDescent="0.2">
      <c r="A5" s="74"/>
      <c r="B5" s="75"/>
      <c r="C5" s="75"/>
      <c r="D5" s="75"/>
      <c r="E5" s="76"/>
      <c r="F5" s="80">
        <v>204578581</v>
      </c>
      <c r="G5" s="81"/>
      <c r="H5" s="82"/>
    </row>
    <row r="6" spans="1:8" ht="31.5" customHeight="1" x14ac:dyDescent="0.2">
      <c r="A6" s="71" t="s">
        <v>8</v>
      </c>
      <c r="B6" s="72"/>
      <c r="C6" s="72"/>
      <c r="D6" s="72"/>
      <c r="E6" s="73"/>
      <c r="F6" s="71" t="s">
        <v>123</v>
      </c>
      <c r="G6" s="83"/>
      <c r="H6" s="84"/>
    </row>
    <row r="7" spans="1:8" ht="60" customHeight="1" x14ac:dyDescent="0.2">
      <c r="A7" s="80" t="s">
        <v>21</v>
      </c>
      <c r="B7" s="81"/>
      <c r="C7" s="81"/>
      <c r="D7" s="81"/>
      <c r="E7" s="82"/>
      <c r="F7" s="85"/>
      <c r="G7" s="86"/>
      <c r="H7" s="87"/>
    </row>
    <row r="8" spans="1:8" ht="21" customHeight="1" x14ac:dyDescent="0.2">
      <c r="A8" s="71" t="s">
        <v>15</v>
      </c>
      <c r="B8" s="72"/>
      <c r="C8" s="72"/>
      <c r="D8" s="72"/>
      <c r="E8" s="72"/>
      <c r="F8" s="72"/>
      <c r="G8" s="72"/>
      <c r="H8" s="73"/>
    </row>
    <row r="9" spans="1:8" s="49" customFormat="1" ht="15.75" customHeight="1" x14ac:dyDescent="0.2">
      <c r="A9" s="88">
        <f>1262207.2-50000</f>
        <v>1212207.2</v>
      </c>
      <c r="B9" s="89"/>
      <c r="C9" s="89"/>
      <c r="D9" s="89"/>
      <c r="E9" s="89"/>
      <c r="F9" s="89"/>
      <c r="G9" s="89"/>
      <c r="H9" s="89"/>
    </row>
    <row r="10" spans="1:8" s="49" customFormat="1" ht="71.25" customHeight="1" x14ac:dyDescent="0.2">
      <c r="A10" s="43" t="s">
        <v>1</v>
      </c>
      <c r="B10" s="43" t="s">
        <v>2</v>
      </c>
      <c r="C10" s="43" t="s">
        <v>3</v>
      </c>
      <c r="D10" s="19" t="s">
        <v>40</v>
      </c>
      <c r="E10" s="43" t="s">
        <v>4</v>
      </c>
      <c r="F10" s="43" t="s">
        <v>5</v>
      </c>
      <c r="G10" s="43" t="s">
        <v>6</v>
      </c>
      <c r="H10" s="43" t="s">
        <v>0</v>
      </c>
    </row>
    <row r="11" spans="1:8" s="49" customFormat="1" ht="15" customHeight="1" x14ac:dyDescent="0.2">
      <c r="A11" s="43">
        <v>1</v>
      </c>
      <c r="B11" s="43">
        <v>2</v>
      </c>
      <c r="C11" s="43">
        <v>3</v>
      </c>
      <c r="D11" s="14">
        <v>4</v>
      </c>
      <c r="E11" s="43">
        <v>5</v>
      </c>
      <c r="F11" s="43">
        <v>6</v>
      </c>
      <c r="G11" s="43">
        <v>7</v>
      </c>
      <c r="H11" s="43">
        <v>8</v>
      </c>
    </row>
    <row r="12" spans="1:8" ht="38.25" customHeight="1" x14ac:dyDescent="0.2">
      <c r="A12" s="43">
        <v>1</v>
      </c>
      <c r="B12" s="15" t="s">
        <v>36</v>
      </c>
      <c r="C12" s="43" t="s">
        <v>37</v>
      </c>
      <c r="D12" s="29">
        <v>5000</v>
      </c>
      <c r="E12" s="43" t="s">
        <v>14</v>
      </c>
      <c r="F12" s="15" t="s">
        <v>12</v>
      </c>
      <c r="G12" s="15" t="s">
        <v>25</v>
      </c>
      <c r="H12" s="16" t="s">
        <v>13</v>
      </c>
    </row>
    <row r="13" spans="1:8" ht="52.5" customHeight="1" x14ac:dyDescent="0.2">
      <c r="A13" s="43">
        <v>2</v>
      </c>
      <c r="B13" s="64">
        <v>34100000</v>
      </c>
      <c r="C13" s="64" t="s">
        <v>51</v>
      </c>
      <c r="D13" s="30">
        <f>563492.2+35417.8</f>
        <v>598910</v>
      </c>
      <c r="E13" s="43" t="s">
        <v>26</v>
      </c>
      <c r="F13" s="15" t="s">
        <v>12</v>
      </c>
      <c r="G13" s="15" t="s">
        <v>25</v>
      </c>
      <c r="H13" s="16"/>
    </row>
    <row r="14" spans="1:8" ht="52.5" customHeight="1" x14ac:dyDescent="0.2">
      <c r="A14" s="43">
        <v>3</v>
      </c>
      <c r="B14" s="65"/>
      <c r="C14" s="65"/>
      <c r="D14" s="30">
        <f>216635.8-10527.8</f>
        <v>206108</v>
      </c>
      <c r="E14" s="43" t="s">
        <v>14</v>
      </c>
      <c r="F14" s="15" t="s">
        <v>12</v>
      </c>
      <c r="G14" s="15" t="s">
        <v>25</v>
      </c>
      <c r="H14" s="16" t="s">
        <v>13</v>
      </c>
    </row>
    <row r="15" spans="1:8" ht="50.25" customHeight="1" x14ac:dyDescent="0.2">
      <c r="A15" s="43">
        <v>4</v>
      </c>
      <c r="B15" s="44">
        <v>45200000</v>
      </c>
      <c r="C15" s="43" t="s">
        <v>53</v>
      </c>
      <c r="D15" s="30">
        <f>115436.3+31363.7</f>
        <v>146800</v>
      </c>
      <c r="E15" s="43" t="s">
        <v>26</v>
      </c>
      <c r="F15" s="15" t="s">
        <v>12</v>
      </c>
      <c r="G15" s="15" t="s">
        <v>25</v>
      </c>
      <c r="H15" s="16"/>
    </row>
    <row r="16" spans="1:8" ht="50.25" customHeight="1" x14ac:dyDescent="0.2">
      <c r="A16" s="43">
        <v>5</v>
      </c>
      <c r="B16" s="31">
        <v>55500000</v>
      </c>
      <c r="C16" s="43" t="s">
        <v>138</v>
      </c>
      <c r="D16" s="29">
        <v>1000</v>
      </c>
      <c r="E16" s="43" t="s">
        <v>10</v>
      </c>
      <c r="F16" s="15" t="s">
        <v>12</v>
      </c>
      <c r="G16" s="15" t="s">
        <v>25</v>
      </c>
      <c r="H16" s="16" t="s">
        <v>94</v>
      </c>
    </row>
    <row r="17" spans="1:8" ht="46.5" customHeight="1" x14ac:dyDescent="0.2">
      <c r="A17" s="43">
        <v>6</v>
      </c>
      <c r="B17" s="43">
        <v>71900000</v>
      </c>
      <c r="C17" s="43" t="s">
        <v>115</v>
      </c>
      <c r="D17" s="29">
        <f>6604.75+3962.85</f>
        <v>10567.6</v>
      </c>
      <c r="E17" s="43" t="s">
        <v>26</v>
      </c>
      <c r="F17" s="15" t="s">
        <v>12</v>
      </c>
      <c r="G17" s="15" t="s">
        <v>25</v>
      </c>
      <c r="H17" s="43"/>
    </row>
    <row r="18" spans="1:8" ht="48.75" customHeight="1" x14ac:dyDescent="0.2">
      <c r="A18" s="43">
        <v>7</v>
      </c>
      <c r="B18" s="43">
        <v>77200000</v>
      </c>
      <c r="C18" s="43" t="s">
        <v>28</v>
      </c>
      <c r="D18" s="29">
        <f>291821.6-50000</f>
        <v>241821.59999999998</v>
      </c>
      <c r="E18" s="43" t="s">
        <v>26</v>
      </c>
      <c r="F18" s="15" t="s">
        <v>12</v>
      </c>
      <c r="G18" s="15" t="s">
        <v>25</v>
      </c>
      <c r="H18" s="43"/>
    </row>
    <row r="19" spans="1:8" ht="46.5" customHeight="1" x14ac:dyDescent="0.2">
      <c r="A19" s="43">
        <v>8</v>
      </c>
      <c r="B19" s="43">
        <v>79500000</v>
      </c>
      <c r="C19" s="43" t="s">
        <v>144</v>
      </c>
      <c r="D19" s="29">
        <v>2000</v>
      </c>
      <c r="E19" s="43" t="s">
        <v>10</v>
      </c>
      <c r="F19" s="15" t="s">
        <v>12</v>
      </c>
      <c r="G19" s="15" t="s">
        <v>25</v>
      </c>
      <c r="H19" s="43"/>
    </row>
    <row r="20" spans="1:8" x14ac:dyDescent="0.2">
      <c r="D20" s="32"/>
    </row>
    <row r="21" spans="1:8" s="11" customFormat="1" ht="16.5" customHeight="1" x14ac:dyDescent="0.2">
      <c r="A21" s="33"/>
      <c r="B21" s="34"/>
      <c r="C21" s="35"/>
      <c r="D21" s="36"/>
      <c r="E21" s="37"/>
      <c r="F21" s="3"/>
      <c r="G21" s="3"/>
      <c r="H21" s="38"/>
    </row>
    <row r="22" spans="1:8" ht="12" customHeight="1" x14ac:dyDescent="0.2">
      <c r="A22" s="33"/>
      <c r="B22" s="4"/>
      <c r="C22" s="5"/>
      <c r="D22" s="36"/>
      <c r="E22" s="39"/>
      <c r="F22" s="3"/>
      <c r="G22" s="3"/>
      <c r="H22" s="7"/>
    </row>
    <row r="23" spans="1:8" ht="38.25" customHeight="1" x14ac:dyDescent="0.2">
      <c r="B23" s="59" t="s">
        <v>145</v>
      </c>
      <c r="C23" s="59"/>
    </row>
    <row r="24" spans="1:8" ht="13.5" customHeight="1" x14ac:dyDescent="0.2">
      <c r="B24" s="24"/>
      <c r="D24" s="8"/>
      <c r="E24" s="60" t="s">
        <v>9</v>
      </c>
      <c r="F24" s="60"/>
    </row>
    <row r="25" spans="1:8" ht="37.5" customHeight="1" x14ac:dyDescent="0.2">
      <c r="B25" s="24"/>
    </row>
    <row r="26" spans="1:8" x14ac:dyDescent="0.2">
      <c r="B26" s="24"/>
    </row>
    <row r="27" spans="1:8" ht="21.75" customHeight="1" x14ac:dyDescent="0.2">
      <c r="B27" s="58"/>
      <c r="C27" s="58"/>
      <c r="D27" s="58"/>
    </row>
    <row r="28" spans="1:8" ht="13.5" customHeight="1" x14ac:dyDescent="0.2">
      <c r="B28" s="59" t="s">
        <v>20</v>
      </c>
      <c r="C28" s="59"/>
      <c r="D28" s="59"/>
    </row>
    <row r="29" spans="1:8" x14ac:dyDescent="0.2">
      <c r="B29" s="24"/>
      <c r="E29" s="60" t="s">
        <v>9</v>
      </c>
      <c r="F29" s="60"/>
    </row>
    <row r="30" spans="1:8" ht="33" customHeight="1" x14ac:dyDescent="0.2">
      <c r="B30" s="24"/>
    </row>
    <row r="38" spans="3:13" x14ac:dyDescent="0.2">
      <c r="C38" s="24" t="s">
        <v>124</v>
      </c>
    </row>
    <row r="45" spans="3:13" x14ac:dyDescent="0.2">
      <c r="L45" s="10"/>
      <c r="M45" s="10"/>
    </row>
    <row r="46" spans="3:13" x14ac:dyDescent="0.2">
      <c r="C46" s="40"/>
      <c r="L46" s="10"/>
      <c r="M46" s="10"/>
    </row>
    <row r="47" spans="3:13" x14ac:dyDescent="0.2">
      <c r="C47" s="41"/>
      <c r="E47" s="46"/>
      <c r="L47" s="10"/>
      <c r="M47" s="10"/>
    </row>
    <row r="48" spans="3:13" ht="19.5" customHeight="1" x14ac:dyDescent="0.2">
      <c r="C48" s="42"/>
      <c r="L48" s="10"/>
      <c r="M48" s="10"/>
    </row>
    <row r="49" spans="3:13" x14ac:dyDescent="0.2">
      <c r="L49" s="10"/>
      <c r="M49" s="10"/>
    </row>
    <row r="50" spans="3:13" ht="24.75" customHeight="1" x14ac:dyDescent="0.2">
      <c r="C50" s="25"/>
      <c r="L50" s="10"/>
      <c r="M50" s="10"/>
    </row>
    <row r="51" spans="3:13" ht="22.5" customHeight="1" x14ac:dyDescent="0.2">
      <c r="L51" s="10"/>
      <c r="M51" s="10"/>
    </row>
    <row r="52" spans="3:13" x14ac:dyDescent="0.2">
      <c r="C52" s="9"/>
      <c r="L52" s="10"/>
      <c r="M52" s="10"/>
    </row>
  </sheetData>
  <mergeCells count="16">
    <mergeCell ref="E24:F24"/>
    <mergeCell ref="B27:D27"/>
    <mergeCell ref="B28:D28"/>
    <mergeCell ref="E29:F29"/>
    <mergeCell ref="C3:G3"/>
    <mergeCell ref="A4:E5"/>
    <mergeCell ref="F4:H4"/>
    <mergeCell ref="F5:H5"/>
    <mergeCell ref="A6:E6"/>
    <mergeCell ref="F6:H7"/>
    <mergeCell ref="A7:E7"/>
    <mergeCell ref="A8:H8"/>
    <mergeCell ref="A9:H9"/>
    <mergeCell ref="B13:B14"/>
    <mergeCell ref="C13:C14"/>
    <mergeCell ref="B23:C23"/>
  </mergeCells>
  <pageMargins left="0.7" right="0.7" top="0.75" bottom="0.75" header="0.3" footer="0.3"/>
  <pageSetup scale="8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სახელმწიფო ბიუჯეტი</vt:lpstr>
      <vt:lpstr>საკუთარი სახსრები</vt:lpstr>
      <vt:lpstr>გრანტი</vt:lpstr>
      <vt:lpstr>გრანტი!Print_Area</vt:lpstr>
      <vt:lpstr>'საკუთარი სახსრები'!Print_Area</vt:lpstr>
      <vt:lpstr>'სახელმწიფო ბიუჯეტი'!Print_Area</vt:lpstr>
    </vt:vector>
  </TitlesOfParts>
  <Company>SPD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GOCHA NADIRADZE</dc:creator>
  <cp:lastModifiedBy>Windows User</cp:lastModifiedBy>
  <cp:lastPrinted>2019-07-05T08:10:33Z</cp:lastPrinted>
  <dcterms:created xsi:type="dcterms:W3CDTF">2001-03-27T09:30:29Z</dcterms:created>
  <dcterms:modified xsi:type="dcterms:W3CDTF">2020-07-07T09:03:06Z</dcterms:modified>
</cp:coreProperties>
</file>